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ISG\EULMGShared\LIBSTAFF\CAA\CAA Team Files\E-Resources\E-Resources A-Z\BFI\"/>
    </mc:Choice>
  </mc:AlternateContent>
  <bookViews>
    <workbookView xWindow="0" yWindow="0" windowWidth="28800" windowHeight="11290"/>
  </bookViews>
  <sheets>
    <sheet name="svod_report_30032023-1680184602" sheetId="1" r:id="rId1"/>
  </sheets>
  <definedNames>
    <definedName name="_xlnm._FilterDatabase" localSheetId="0" hidden="1">'svod_report_30032023-1680184602'!$A$1:$L$590</definedName>
  </definedNames>
  <calcPr calcId="162913"/>
</workbook>
</file>

<file path=xl/calcChain.xml><?xml version="1.0" encoding="utf-8"?>
<calcChain xmlns="http://schemas.openxmlformats.org/spreadsheetml/2006/main">
  <c r="C11" i="1" l="1"/>
  <c r="D11" i="1" s="1"/>
  <c r="F11" i="1"/>
  <c r="E11" i="1" s="1"/>
  <c r="C109" i="1"/>
  <c r="D109" i="1" s="1"/>
  <c r="F109" i="1"/>
  <c r="E109" i="1" s="1"/>
  <c r="C226" i="1"/>
  <c r="D226" i="1" s="1"/>
  <c r="F226" i="1"/>
  <c r="E226" i="1" s="1"/>
  <c r="C328" i="1"/>
  <c r="D328" i="1" s="1"/>
  <c r="F328" i="1"/>
  <c r="E328" i="1" s="1"/>
  <c r="C113" i="1"/>
  <c r="D113" i="1" s="1"/>
  <c r="F113" i="1"/>
  <c r="E113" i="1" s="1"/>
  <c r="C105" i="1"/>
  <c r="D105" i="1" s="1"/>
  <c r="F105" i="1"/>
  <c r="E105" i="1" s="1"/>
  <c r="C423" i="1"/>
  <c r="D423" i="1" s="1"/>
  <c r="F423" i="1"/>
  <c r="E423" i="1" s="1"/>
  <c r="C491" i="1"/>
  <c r="D491" i="1" s="1"/>
  <c r="F491" i="1"/>
  <c r="E491" i="1" s="1"/>
  <c r="C112" i="1"/>
  <c r="D112" i="1" s="1"/>
  <c r="F112" i="1"/>
  <c r="E112" i="1" s="1"/>
  <c r="C368" i="1"/>
  <c r="D368" i="1" s="1"/>
  <c r="F368" i="1"/>
  <c r="E368" i="1" s="1"/>
  <c r="C107" i="1"/>
  <c r="D107" i="1" s="1"/>
  <c r="F107" i="1"/>
  <c r="E107" i="1" s="1"/>
  <c r="C56" i="1"/>
  <c r="D56" i="1" s="1"/>
  <c r="F56" i="1"/>
  <c r="E56" i="1" s="1"/>
  <c r="C350" i="1"/>
  <c r="D350" i="1" s="1"/>
  <c r="F350" i="1"/>
  <c r="E350" i="1" s="1"/>
  <c r="C29" i="1"/>
  <c r="D29" i="1" s="1"/>
  <c r="F29" i="1"/>
  <c r="E29" i="1" s="1"/>
  <c r="C424" i="1"/>
  <c r="D424" i="1" s="1"/>
  <c r="F424" i="1"/>
  <c r="E424" i="1" s="1"/>
  <c r="C329" i="1"/>
  <c r="D329" i="1" s="1"/>
  <c r="F329" i="1"/>
  <c r="E329" i="1" s="1"/>
  <c r="C108" i="1"/>
  <c r="D108" i="1" s="1"/>
  <c r="F108" i="1"/>
  <c r="E108" i="1" s="1"/>
  <c r="C57" i="1"/>
  <c r="D57" i="1" s="1"/>
  <c r="F57" i="1"/>
  <c r="E57" i="1" s="1"/>
  <c r="C378" i="1"/>
  <c r="D378" i="1" s="1"/>
  <c r="F378" i="1"/>
  <c r="E378" i="1" s="1"/>
  <c r="C136" i="1"/>
  <c r="D136" i="1" s="1"/>
  <c r="F136" i="1"/>
  <c r="E136" i="1" s="1"/>
  <c r="C564" i="1"/>
  <c r="D564" i="1" s="1"/>
  <c r="F564" i="1"/>
  <c r="E564" i="1" s="1"/>
  <c r="C575" i="1"/>
  <c r="D575" i="1" s="1"/>
  <c r="F575" i="1"/>
  <c r="E575" i="1" s="1"/>
  <c r="C576" i="1"/>
  <c r="D576" i="1" s="1"/>
  <c r="F576" i="1"/>
  <c r="E576" i="1" s="1"/>
  <c r="C5" i="1"/>
  <c r="D5" i="1" s="1"/>
  <c r="F5" i="1"/>
  <c r="E5" i="1" s="1"/>
  <c r="C388" i="1"/>
  <c r="D388" i="1" s="1"/>
  <c r="F388" i="1"/>
  <c r="E388" i="1" s="1"/>
  <c r="C535" i="1"/>
  <c r="D535" i="1" s="1"/>
  <c r="F535" i="1"/>
  <c r="E535" i="1" s="1"/>
  <c r="C536" i="1"/>
  <c r="D536" i="1" s="1"/>
  <c r="F536" i="1"/>
  <c r="E536" i="1" s="1"/>
  <c r="C459" i="1"/>
  <c r="D459" i="1" s="1"/>
  <c r="F459" i="1"/>
  <c r="E459" i="1" s="1"/>
  <c r="C178" i="1"/>
  <c r="D178" i="1" s="1"/>
  <c r="F178" i="1"/>
  <c r="E178" i="1" s="1"/>
  <c r="C537" i="1"/>
  <c r="D537" i="1" s="1"/>
  <c r="F537" i="1"/>
  <c r="E537" i="1" s="1"/>
  <c r="C264" i="1"/>
  <c r="D264" i="1" s="1"/>
  <c r="F264" i="1"/>
  <c r="E264" i="1" s="1"/>
  <c r="C577" i="1"/>
  <c r="D577" i="1" s="1"/>
  <c r="F577" i="1"/>
  <c r="E577" i="1" s="1"/>
  <c r="C578" i="1"/>
  <c r="D578" i="1" s="1"/>
  <c r="F578" i="1"/>
  <c r="E578" i="1" s="1"/>
  <c r="C579" i="1"/>
  <c r="D579" i="1" s="1"/>
  <c r="F579" i="1"/>
  <c r="E579" i="1" s="1"/>
  <c r="C580" i="1"/>
  <c r="D580" i="1" s="1"/>
  <c r="F580" i="1"/>
  <c r="E580" i="1" s="1"/>
  <c r="C99" i="1"/>
  <c r="D99" i="1" s="1"/>
  <c r="F99" i="1"/>
  <c r="E99" i="1" s="1"/>
  <c r="C222" i="1"/>
  <c r="D222" i="1" s="1"/>
  <c r="F222" i="1"/>
  <c r="E222" i="1" s="1"/>
  <c r="C572" i="1"/>
  <c r="D572" i="1" s="1"/>
  <c r="F572" i="1"/>
  <c r="E572" i="1" s="1"/>
  <c r="C573" i="1"/>
  <c r="D573" i="1" s="1"/>
  <c r="F573" i="1"/>
  <c r="E573" i="1" s="1"/>
  <c r="C268" i="1"/>
  <c r="D268" i="1" s="1"/>
  <c r="F268" i="1"/>
  <c r="E268" i="1" s="1"/>
  <c r="C454" i="1"/>
  <c r="D454" i="1" s="1"/>
  <c r="F454" i="1"/>
  <c r="E454" i="1" s="1"/>
  <c r="C555" i="1"/>
  <c r="D555" i="1" s="1"/>
  <c r="F555" i="1"/>
  <c r="E555" i="1" s="1"/>
  <c r="C393" i="1"/>
  <c r="D393" i="1" s="1"/>
  <c r="F393" i="1"/>
  <c r="E393" i="1" s="1"/>
  <c r="C394" i="1"/>
  <c r="D394" i="1" s="1"/>
  <c r="F394" i="1"/>
  <c r="E394" i="1" s="1"/>
  <c r="C574" i="1"/>
  <c r="D574" i="1" s="1"/>
  <c r="F574" i="1"/>
  <c r="E574" i="1" s="1"/>
  <c r="C557" i="1"/>
  <c r="D557" i="1" s="1"/>
  <c r="F557" i="1"/>
  <c r="E557" i="1" s="1"/>
  <c r="C556" i="1"/>
  <c r="D556" i="1" s="1"/>
  <c r="F556" i="1"/>
  <c r="E556" i="1" s="1"/>
  <c r="C581" i="1"/>
  <c r="D581" i="1" s="1"/>
  <c r="F581" i="1"/>
  <c r="E581" i="1" s="1"/>
  <c r="C584" i="1"/>
  <c r="D584" i="1" s="1"/>
  <c r="F584" i="1"/>
  <c r="E584" i="1" s="1"/>
  <c r="C558" i="1"/>
  <c r="D558" i="1" s="1"/>
  <c r="F558" i="1"/>
  <c r="E558" i="1" s="1"/>
  <c r="C455" i="1"/>
  <c r="D455" i="1" s="1"/>
  <c r="F455" i="1"/>
  <c r="E455" i="1" s="1"/>
  <c r="C481" i="1"/>
  <c r="D481" i="1" s="1"/>
  <c r="F481" i="1"/>
  <c r="E481" i="1" s="1"/>
  <c r="C462" i="1"/>
  <c r="D462" i="1" s="1"/>
  <c r="F462" i="1"/>
  <c r="E462" i="1" s="1"/>
  <c r="C448" i="1"/>
  <c r="D448" i="1" s="1"/>
  <c r="F448" i="1"/>
  <c r="E448" i="1" s="1"/>
  <c r="C569" i="1"/>
  <c r="D569" i="1" s="1"/>
  <c r="F569" i="1"/>
  <c r="E569" i="1" s="1"/>
  <c r="C570" i="1"/>
  <c r="D570" i="1" s="1"/>
  <c r="F570" i="1"/>
  <c r="E570" i="1" s="1"/>
  <c r="C585" i="1"/>
  <c r="D585" i="1" s="1"/>
  <c r="F585" i="1"/>
  <c r="E585" i="1" s="1"/>
  <c r="C587" i="1"/>
  <c r="D587" i="1" s="1"/>
  <c r="F587" i="1"/>
  <c r="E587" i="1" s="1"/>
  <c r="C586" i="1"/>
  <c r="D586" i="1" s="1"/>
  <c r="F586" i="1"/>
  <c r="E586" i="1" s="1"/>
  <c r="C185" i="1"/>
  <c r="D185" i="1" s="1"/>
  <c r="F185" i="1"/>
  <c r="E185" i="1" s="1"/>
  <c r="C360" i="1"/>
  <c r="D360" i="1" s="1"/>
  <c r="F360" i="1"/>
  <c r="E360" i="1" s="1"/>
  <c r="C251" i="1"/>
  <c r="D251" i="1" s="1"/>
  <c r="F251" i="1"/>
  <c r="E251" i="1" s="1"/>
  <c r="C252" i="1"/>
  <c r="D252" i="1" s="1"/>
  <c r="F252" i="1"/>
  <c r="E252" i="1" s="1"/>
  <c r="C395" i="1"/>
  <c r="D395" i="1" s="1"/>
  <c r="F395" i="1"/>
  <c r="E395" i="1" s="1"/>
  <c r="C396" i="1"/>
  <c r="D396" i="1" s="1"/>
  <c r="F396" i="1"/>
  <c r="E396" i="1" s="1"/>
  <c r="C397" i="1"/>
  <c r="D397" i="1" s="1"/>
  <c r="F397" i="1"/>
  <c r="E397" i="1" s="1"/>
  <c r="C389" i="1"/>
  <c r="D389" i="1" s="1"/>
  <c r="F389" i="1"/>
  <c r="E389" i="1" s="1"/>
  <c r="C538" i="1"/>
  <c r="D538" i="1" s="1"/>
  <c r="F538" i="1"/>
  <c r="E538" i="1" s="1"/>
  <c r="C539" i="1"/>
  <c r="D539" i="1" s="1"/>
  <c r="F539" i="1"/>
  <c r="E539" i="1" s="1"/>
  <c r="C120" i="1"/>
  <c r="D120" i="1" s="1"/>
  <c r="F120" i="1"/>
  <c r="E120" i="1" s="1"/>
  <c r="C582" i="1"/>
  <c r="D582" i="1" s="1"/>
  <c r="F582" i="1"/>
  <c r="E582" i="1" s="1"/>
  <c r="C551" i="1"/>
  <c r="D551" i="1" s="1"/>
  <c r="F551" i="1"/>
  <c r="E551" i="1" s="1"/>
  <c r="C571" i="1"/>
  <c r="D571" i="1" s="1"/>
  <c r="F571" i="1"/>
  <c r="E571" i="1" s="1"/>
  <c r="C364" i="1"/>
  <c r="D364" i="1" s="1"/>
  <c r="F364" i="1"/>
  <c r="E364" i="1" s="1"/>
  <c r="C248" i="1"/>
  <c r="D248" i="1" s="1"/>
  <c r="F248" i="1"/>
  <c r="E248" i="1" s="1"/>
  <c r="C365" i="1"/>
  <c r="D365" i="1" s="1"/>
  <c r="F365" i="1"/>
  <c r="E365" i="1" s="1"/>
  <c r="C554" i="1"/>
  <c r="D554" i="1" s="1"/>
  <c r="F554" i="1"/>
  <c r="E554" i="1" s="1"/>
  <c r="C553" i="1"/>
  <c r="D553" i="1" s="1"/>
  <c r="F553" i="1"/>
  <c r="E553" i="1" s="1"/>
  <c r="C444" i="1"/>
  <c r="D444" i="1" s="1"/>
  <c r="F444" i="1"/>
  <c r="E444" i="1" s="1"/>
  <c r="C202" i="1"/>
  <c r="D202" i="1" s="1"/>
  <c r="F202" i="1"/>
  <c r="E202" i="1" s="1"/>
  <c r="C270" i="1"/>
  <c r="D270" i="1" s="1"/>
  <c r="F270" i="1"/>
  <c r="E270" i="1" s="1"/>
  <c r="C563" i="1"/>
  <c r="D563" i="1" s="1"/>
  <c r="F563" i="1"/>
  <c r="E563" i="1" s="1"/>
  <c r="C568" i="1"/>
  <c r="D568" i="1" s="1"/>
  <c r="F568" i="1"/>
  <c r="E568" i="1" s="1"/>
  <c r="C565" i="1"/>
  <c r="D565" i="1" s="1"/>
  <c r="F565" i="1"/>
  <c r="E565" i="1" s="1"/>
  <c r="C566" i="1"/>
  <c r="D566" i="1" s="1"/>
  <c r="F566" i="1"/>
  <c r="E566" i="1" s="1"/>
  <c r="C533" i="1"/>
  <c r="D533" i="1" s="1"/>
  <c r="F533" i="1"/>
  <c r="E533" i="1" s="1"/>
  <c r="C534" i="1"/>
  <c r="D534" i="1" s="1"/>
  <c r="F534" i="1"/>
  <c r="E534" i="1" s="1"/>
  <c r="C567" i="1"/>
  <c r="D567" i="1" s="1"/>
  <c r="F567" i="1"/>
  <c r="E567" i="1" s="1"/>
  <c r="C482" i="1"/>
  <c r="D482" i="1" s="1"/>
  <c r="F482" i="1"/>
  <c r="E482" i="1" s="1"/>
  <c r="C562" i="1"/>
  <c r="D562" i="1" s="1"/>
  <c r="F562" i="1"/>
  <c r="E562" i="1" s="1"/>
  <c r="C485" i="1"/>
  <c r="D485" i="1" s="1"/>
  <c r="F485" i="1"/>
  <c r="E485" i="1" s="1"/>
  <c r="C320" i="1"/>
  <c r="D320" i="1" s="1"/>
  <c r="F320" i="1"/>
  <c r="E320" i="1" s="1"/>
  <c r="C450" i="1"/>
  <c r="D450" i="1" s="1"/>
  <c r="F450" i="1"/>
  <c r="E450" i="1" s="1"/>
  <c r="C451" i="1"/>
  <c r="D451" i="1" s="1"/>
  <c r="F451" i="1"/>
  <c r="E451" i="1" s="1"/>
  <c r="C44" i="1"/>
  <c r="D44" i="1" s="1"/>
  <c r="F44" i="1"/>
  <c r="E44" i="1" s="1"/>
  <c r="C442" i="1"/>
  <c r="D442" i="1" s="1"/>
  <c r="F442" i="1"/>
  <c r="E442" i="1" s="1"/>
  <c r="C391" i="1"/>
  <c r="D391" i="1" s="1"/>
  <c r="F391" i="1"/>
  <c r="E391" i="1" s="1"/>
  <c r="C464" i="1"/>
  <c r="D464" i="1" s="1"/>
  <c r="F464" i="1"/>
  <c r="E464" i="1" s="1"/>
  <c r="C457" i="1"/>
  <c r="D457" i="1" s="1"/>
  <c r="F457" i="1"/>
  <c r="E457" i="1" s="1"/>
  <c r="C465" i="1"/>
  <c r="D465" i="1" s="1"/>
  <c r="F465" i="1"/>
  <c r="E465" i="1" s="1"/>
  <c r="C559" i="1"/>
  <c r="D559" i="1" s="1"/>
  <c r="F559" i="1"/>
  <c r="E559" i="1" s="1"/>
  <c r="C285" i="1"/>
  <c r="D285" i="1" s="1"/>
  <c r="F285" i="1"/>
  <c r="E285" i="1" s="1"/>
  <c r="C10" i="1"/>
  <c r="D10" i="1" s="1"/>
  <c r="F10" i="1"/>
  <c r="E10" i="1" s="1"/>
  <c r="C467" i="1"/>
  <c r="D467" i="1" s="1"/>
  <c r="F467" i="1"/>
  <c r="E467" i="1" s="1"/>
  <c r="C59" i="1"/>
  <c r="D59" i="1" s="1"/>
  <c r="F59" i="1"/>
  <c r="E59" i="1" s="1"/>
  <c r="C583" i="1"/>
  <c r="D583" i="1" s="1"/>
  <c r="F583" i="1"/>
  <c r="E583" i="1" s="1"/>
  <c r="C560" i="1"/>
  <c r="D560" i="1" s="1"/>
  <c r="F560" i="1"/>
  <c r="E560" i="1" s="1"/>
  <c r="C172" i="1"/>
  <c r="D172" i="1" s="1"/>
  <c r="F172" i="1"/>
  <c r="E172" i="1" s="1"/>
  <c r="C260" i="1"/>
  <c r="D260" i="1" s="1"/>
  <c r="F260" i="1"/>
  <c r="E260" i="1" s="1"/>
  <c r="C383" i="1"/>
  <c r="D383" i="1" s="1"/>
  <c r="F383" i="1"/>
  <c r="E383" i="1" s="1"/>
  <c r="C117" i="1"/>
  <c r="D117" i="1" s="1"/>
  <c r="F117" i="1"/>
  <c r="E117" i="1" s="1"/>
  <c r="C267" i="1"/>
  <c r="D267" i="1" s="1"/>
  <c r="F267" i="1"/>
  <c r="E267" i="1" s="1"/>
  <c r="C382" i="1"/>
  <c r="D382" i="1" s="1"/>
  <c r="F382" i="1"/>
  <c r="E382" i="1" s="1"/>
  <c r="C356" i="1"/>
  <c r="D356" i="1" s="1"/>
  <c r="F356" i="1"/>
  <c r="E356" i="1" s="1"/>
  <c r="C179" i="1"/>
  <c r="D179" i="1" s="1"/>
  <c r="F179" i="1"/>
  <c r="E179" i="1" s="1"/>
  <c r="C561" i="1"/>
  <c r="D561" i="1" s="1"/>
  <c r="F561" i="1"/>
  <c r="E561" i="1" s="1"/>
  <c r="C240" i="1"/>
  <c r="D240" i="1" s="1"/>
  <c r="F240" i="1"/>
  <c r="E240" i="1" s="1"/>
  <c r="C496" i="1"/>
  <c r="D496" i="1" s="1"/>
  <c r="F496" i="1"/>
  <c r="E496" i="1" s="1"/>
  <c r="C540" i="1"/>
  <c r="D540" i="1" s="1"/>
  <c r="F540" i="1"/>
  <c r="E540" i="1" s="1"/>
  <c r="C369" i="1"/>
  <c r="D369" i="1" s="1"/>
  <c r="F369" i="1"/>
  <c r="E369" i="1" s="1"/>
  <c r="C152" i="1"/>
  <c r="D152" i="1" s="1"/>
  <c r="F152" i="1"/>
  <c r="E152" i="1" s="1"/>
  <c r="C153" i="1"/>
  <c r="D153" i="1" s="1"/>
  <c r="F153" i="1"/>
  <c r="E153" i="1" s="1"/>
  <c r="C460" i="1"/>
  <c r="D460" i="1" s="1"/>
  <c r="F460" i="1"/>
  <c r="E460" i="1" s="1"/>
  <c r="C425" i="1"/>
  <c r="D425" i="1" s="1"/>
  <c r="F425" i="1"/>
  <c r="E425" i="1" s="1"/>
  <c r="C346" i="1"/>
  <c r="D346" i="1" s="1"/>
  <c r="F346" i="1"/>
  <c r="E346" i="1" s="1"/>
  <c r="C370" i="1"/>
  <c r="D370" i="1" s="1"/>
  <c r="F370" i="1"/>
  <c r="E370" i="1" s="1"/>
  <c r="C426" i="1"/>
  <c r="D426" i="1" s="1"/>
  <c r="F426" i="1"/>
  <c r="E426" i="1" s="1"/>
  <c r="C427" i="1"/>
  <c r="D427" i="1" s="1"/>
  <c r="F427" i="1"/>
  <c r="E427" i="1" s="1"/>
  <c r="C154" i="1"/>
  <c r="D154" i="1" s="1"/>
  <c r="F154" i="1"/>
  <c r="E154" i="1" s="1"/>
  <c r="C371" i="1"/>
  <c r="D371" i="1" s="1"/>
  <c r="F371" i="1"/>
  <c r="E371" i="1" s="1"/>
  <c r="C372" i="1"/>
  <c r="D372" i="1" s="1"/>
  <c r="F372" i="1"/>
  <c r="E372" i="1" s="1"/>
  <c r="C373" i="1"/>
  <c r="D373" i="1" s="1"/>
  <c r="F373" i="1"/>
  <c r="E373" i="1" s="1"/>
  <c r="C428" i="1"/>
  <c r="D428" i="1" s="1"/>
  <c r="F428" i="1"/>
  <c r="E428" i="1" s="1"/>
  <c r="C429" i="1"/>
  <c r="D429" i="1" s="1"/>
  <c r="F429" i="1"/>
  <c r="E429" i="1" s="1"/>
  <c r="C430" i="1"/>
  <c r="D430" i="1" s="1"/>
  <c r="F430" i="1"/>
  <c r="E430" i="1" s="1"/>
  <c r="C374" i="1"/>
  <c r="D374" i="1" s="1"/>
  <c r="F374" i="1"/>
  <c r="E374" i="1" s="1"/>
  <c r="C375" i="1"/>
  <c r="D375" i="1" s="1"/>
  <c r="F375" i="1"/>
  <c r="E375" i="1" s="1"/>
  <c r="C431" i="1"/>
  <c r="D431" i="1" s="1"/>
  <c r="F431" i="1"/>
  <c r="E431" i="1" s="1"/>
  <c r="C432" i="1"/>
  <c r="D432" i="1" s="1"/>
  <c r="F432" i="1"/>
  <c r="E432" i="1" s="1"/>
  <c r="C81" i="1"/>
  <c r="D81" i="1" s="1"/>
  <c r="F81" i="1"/>
  <c r="E81" i="1" s="1"/>
  <c r="C302" i="1"/>
  <c r="D302" i="1" s="1"/>
  <c r="F302" i="1"/>
  <c r="E302" i="1" s="1"/>
  <c r="C433" i="1"/>
  <c r="D433" i="1" s="1"/>
  <c r="F433" i="1"/>
  <c r="E433" i="1" s="1"/>
  <c r="C347" i="1"/>
  <c r="D347" i="1" s="1"/>
  <c r="F347" i="1"/>
  <c r="E347" i="1" s="1"/>
  <c r="C82" i="1"/>
  <c r="D82" i="1" s="1"/>
  <c r="F82" i="1"/>
  <c r="E82" i="1" s="1"/>
  <c r="C83" i="1"/>
  <c r="D83" i="1" s="1"/>
  <c r="F83" i="1"/>
  <c r="E83" i="1" s="1"/>
  <c r="C348" i="1"/>
  <c r="D348" i="1" s="1"/>
  <c r="F348" i="1"/>
  <c r="E348" i="1" s="1"/>
  <c r="C590" i="1"/>
  <c r="D590" i="1" s="1"/>
  <c r="F590" i="1"/>
  <c r="E590" i="1" s="1"/>
  <c r="C589" i="1"/>
  <c r="D589" i="1" s="1"/>
  <c r="F589" i="1"/>
  <c r="E589" i="1" s="1"/>
  <c r="C588" i="1"/>
  <c r="D588" i="1" s="1"/>
  <c r="F588" i="1"/>
  <c r="E588" i="1" s="1"/>
  <c r="C84" i="1"/>
  <c r="D84" i="1" s="1"/>
  <c r="F84" i="1"/>
  <c r="E84" i="1" s="1"/>
  <c r="C155" i="1"/>
  <c r="D155" i="1" s="1"/>
  <c r="F155" i="1"/>
  <c r="E155" i="1" s="1"/>
  <c r="C85" i="1"/>
  <c r="D85" i="1" s="1"/>
  <c r="F85" i="1"/>
  <c r="E85" i="1" s="1"/>
  <c r="C304" i="1"/>
  <c r="D304" i="1" s="1"/>
  <c r="F304" i="1"/>
  <c r="E304" i="1" s="1"/>
  <c r="C303" i="1"/>
  <c r="D303" i="1" s="1"/>
  <c r="F303" i="1"/>
  <c r="E303" i="1" s="1"/>
  <c r="C358" i="1"/>
  <c r="D358" i="1" s="1"/>
  <c r="F358" i="1"/>
  <c r="E358" i="1" s="1"/>
  <c r="C434" i="1"/>
  <c r="D434" i="1" s="1"/>
  <c r="F434" i="1"/>
  <c r="E434" i="1" s="1"/>
  <c r="C435" i="1"/>
  <c r="D435" i="1" s="1"/>
  <c r="F435" i="1"/>
  <c r="E435" i="1" s="1"/>
  <c r="C436" i="1"/>
  <c r="D436" i="1" s="1"/>
  <c r="F436" i="1"/>
  <c r="E436" i="1" s="1"/>
  <c r="C86" i="1"/>
  <c r="D86" i="1" s="1"/>
  <c r="F86" i="1"/>
  <c r="E86" i="1" s="1"/>
  <c r="C437" i="1"/>
  <c r="D437" i="1" s="1"/>
  <c r="F437" i="1"/>
  <c r="E437" i="1" s="1"/>
  <c r="C376" i="1"/>
  <c r="D376" i="1" s="1"/>
  <c r="F376" i="1"/>
  <c r="E376" i="1" s="1"/>
  <c r="C316" i="1"/>
  <c r="D316" i="1" s="1"/>
  <c r="F316" i="1"/>
  <c r="E316" i="1" s="1"/>
  <c r="C438" i="1"/>
  <c r="D438" i="1" s="1"/>
  <c r="F438" i="1"/>
  <c r="E438" i="1" s="1"/>
  <c r="C349" i="1"/>
  <c r="D349" i="1" s="1"/>
  <c r="F349" i="1"/>
  <c r="E349" i="1" s="1"/>
  <c r="C439" i="1"/>
  <c r="D439" i="1" s="1"/>
  <c r="F439" i="1"/>
  <c r="E439" i="1" s="1"/>
  <c r="C377" i="1"/>
  <c r="D377" i="1" s="1"/>
  <c r="F377" i="1"/>
  <c r="E377" i="1" s="1"/>
  <c r="C440" i="1"/>
  <c r="D440" i="1" s="1"/>
  <c r="F440" i="1"/>
  <c r="E440" i="1" s="1"/>
  <c r="C541" i="1"/>
  <c r="D541" i="1" s="1"/>
  <c r="F541" i="1"/>
  <c r="E541" i="1" s="1"/>
  <c r="C544" i="1"/>
  <c r="D544" i="1" s="1"/>
  <c r="F544" i="1"/>
  <c r="E544" i="1" s="1"/>
  <c r="C542" i="1"/>
  <c r="D542" i="1" s="1"/>
  <c r="F542" i="1"/>
  <c r="E542" i="1" s="1"/>
  <c r="C552" i="1"/>
  <c r="D552" i="1" s="1"/>
  <c r="F552" i="1"/>
  <c r="E552" i="1" s="1"/>
  <c r="C294" i="1"/>
  <c r="D294" i="1" s="1"/>
  <c r="F294" i="1"/>
  <c r="E294" i="1" s="1"/>
  <c r="C229" i="1"/>
  <c r="D229" i="1" s="1"/>
  <c r="F229" i="1"/>
  <c r="E229" i="1" s="1"/>
  <c r="C283" i="1"/>
  <c r="D283" i="1" s="1"/>
  <c r="F283" i="1"/>
  <c r="E283" i="1" s="1"/>
  <c r="C461" i="1"/>
  <c r="D461" i="1" s="1"/>
  <c r="F461" i="1"/>
  <c r="E461" i="1" s="1"/>
  <c r="C351" i="1"/>
  <c r="D351" i="1" s="1"/>
  <c r="F351" i="1"/>
  <c r="E351" i="1" s="1"/>
  <c r="C352" i="1"/>
  <c r="D352" i="1" s="1"/>
  <c r="F352" i="1"/>
  <c r="E352" i="1" s="1"/>
  <c r="C353" i="1"/>
  <c r="D353" i="1" s="1"/>
  <c r="F353" i="1"/>
  <c r="E353" i="1" s="1"/>
  <c r="C354" i="1"/>
  <c r="D354" i="1" s="1"/>
  <c r="F354" i="1"/>
  <c r="E354" i="1" s="1"/>
  <c r="C106" i="1"/>
  <c r="D106" i="1" s="1"/>
  <c r="F106" i="1"/>
  <c r="E106" i="1" s="1"/>
  <c r="C156" i="1"/>
  <c r="D156" i="1" s="1"/>
  <c r="F156" i="1"/>
  <c r="E156" i="1" s="1"/>
  <c r="C241" i="1"/>
  <c r="D241" i="1" s="1"/>
  <c r="F241" i="1"/>
  <c r="E241" i="1" s="1"/>
  <c r="C466" i="1"/>
  <c r="D466" i="1" s="1"/>
  <c r="F466" i="1"/>
  <c r="E466" i="1" s="1"/>
  <c r="C224" i="1"/>
  <c r="D224" i="1" s="1"/>
  <c r="F224" i="1"/>
  <c r="E224" i="1" s="1"/>
  <c r="C90" i="1"/>
  <c r="D90" i="1" s="1"/>
  <c r="F90" i="1"/>
  <c r="E90" i="1" s="1"/>
  <c r="C499" i="1"/>
  <c r="D499" i="1" s="1"/>
  <c r="F499" i="1"/>
  <c r="E499" i="1" s="1"/>
  <c r="C312" i="1"/>
  <c r="D312" i="1" s="1"/>
  <c r="F312" i="1"/>
  <c r="E312" i="1" s="1"/>
  <c r="C313" i="1"/>
  <c r="D313" i="1" s="1"/>
  <c r="F313" i="1"/>
  <c r="E313" i="1" s="1"/>
  <c r="C314" i="1"/>
  <c r="D314" i="1" s="1"/>
  <c r="F314" i="1"/>
  <c r="E314" i="1" s="1"/>
  <c r="C366" i="1"/>
  <c r="D366" i="1" s="1"/>
  <c r="F366" i="1"/>
  <c r="E366" i="1" s="1"/>
  <c r="C207" i="1"/>
  <c r="D207" i="1" s="1"/>
  <c r="F207" i="1"/>
  <c r="E207" i="1" s="1"/>
  <c r="C411" i="1"/>
  <c r="D411" i="1" s="1"/>
  <c r="F411" i="1"/>
  <c r="E411" i="1" s="1"/>
  <c r="C100" i="1"/>
  <c r="D100" i="1" s="1"/>
  <c r="F100" i="1"/>
  <c r="E100" i="1" s="1"/>
  <c r="C532" i="1"/>
  <c r="D532" i="1" s="1"/>
  <c r="F532" i="1"/>
  <c r="E532" i="1" s="1"/>
  <c r="C242" i="1"/>
  <c r="D242" i="1" s="1"/>
  <c r="F242" i="1"/>
  <c r="E242" i="1" s="1"/>
  <c r="C545" i="1"/>
  <c r="D545" i="1" s="1"/>
  <c r="F545" i="1"/>
  <c r="E545" i="1" s="1"/>
  <c r="C546" i="1"/>
  <c r="D546" i="1" s="1"/>
  <c r="F546" i="1"/>
  <c r="E546" i="1" s="1"/>
  <c r="C547" i="1"/>
  <c r="D547" i="1" s="1"/>
  <c r="F547" i="1"/>
  <c r="E547" i="1" s="1"/>
  <c r="C548" i="1"/>
  <c r="D548" i="1" s="1"/>
  <c r="F548" i="1"/>
  <c r="E548" i="1" s="1"/>
  <c r="C549" i="1"/>
  <c r="D549" i="1" s="1"/>
  <c r="F549" i="1"/>
  <c r="E549" i="1" s="1"/>
  <c r="C550" i="1"/>
  <c r="D550" i="1" s="1"/>
  <c r="F550" i="1"/>
  <c r="E550" i="1" s="1"/>
  <c r="C390" i="1"/>
  <c r="D390" i="1" s="1"/>
  <c r="F390" i="1"/>
  <c r="E390" i="1" s="1"/>
  <c r="C405" i="1"/>
  <c r="D405" i="1" s="1"/>
  <c r="F405" i="1"/>
  <c r="E405" i="1" s="1"/>
  <c r="C357" i="1"/>
  <c r="D357" i="1" s="1"/>
  <c r="F357" i="1"/>
  <c r="E357" i="1" s="1"/>
  <c r="C458" i="1"/>
  <c r="D458" i="1" s="1"/>
  <c r="F458" i="1"/>
  <c r="E458" i="1" s="1"/>
  <c r="C543" i="1"/>
  <c r="D543" i="1" s="1"/>
  <c r="F543" i="1"/>
  <c r="E543" i="1" s="1"/>
  <c r="C530" i="1"/>
  <c r="D530" i="1" s="1"/>
  <c r="F530" i="1"/>
  <c r="E530" i="1" s="1"/>
  <c r="C525" i="1"/>
  <c r="D525" i="1" s="1"/>
  <c r="F525" i="1"/>
  <c r="E525" i="1" s="1"/>
  <c r="C526" i="1"/>
  <c r="D526" i="1" s="1"/>
  <c r="F526" i="1"/>
  <c r="E526" i="1" s="1"/>
  <c r="C527" i="1"/>
  <c r="D527" i="1" s="1"/>
  <c r="F527" i="1"/>
  <c r="E527" i="1" s="1"/>
  <c r="C77" i="1"/>
  <c r="D77" i="1" s="1"/>
  <c r="F77" i="1"/>
  <c r="E77" i="1" s="1"/>
  <c r="C404" i="1"/>
  <c r="D404" i="1" s="1"/>
  <c r="F404" i="1"/>
  <c r="E404" i="1" s="1"/>
  <c r="C306" i="1"/>
  <c r="D306" i="1" s="1"/>
  <c r="F306" i="1"/>
  <c r="E306" i="1" s="1"/>
  <c r="C324" i="1"/>
  <c r="D324" i="1" s="1"/>
  <c r="F324" i="1"/>
  <c r="E324" i="1" s="1"/>
  <c r="C463" i="1"/>
  <c r="D463" i="1" s="1"/>
  <c r="F463" i="1"/>
  <c r="E463" i="1" s="1"/>
  <c r="C238" i="1"/>
  <c r="D238" i="1" s="1"/>
  <c r="F238" i="1"/>
  <c r="E238" i="1" s="1"/>
  <c r="C259" i="1"/>
  <c r="D259" i="1" s="1"/>
  <c r="F259" i="1"/>
  <c r="E259" i="1" s="1"/>
  <c r="C258" i="1"/>
  <c r="D258" i="1" s="1"/>
  <c r="F258" i="1"/>
  <c r="E258" i="1" s="1"/>
  <c r="C225" i="1"/>
  <c r="D225" i="1" s="1"/>
  <c r="F225" i="1"/>
  <c r="E225" i="1" s="1"/>
  <c r="C151" i="1"/>
  <c r="D151" i="1" s="1"/>
  <c r="F151" i="1"/>
  <c r="E151" i="1" s="1"/>
  <c r="C452" i="1"/>
  <c r="D452" i="1" s="1"/>
  <c r="F452" i="1"/>
  <c r="E452" i="1" s="1"/>
  <c r="C445" i="1"/>
  <c r="D445" i="1" s="1"/>
  <c r="F445" i="1"/>
  <c r="E445" i="1" s="1"/>
  <c r="C495" i="1"/>
  <c r="D495" i="1" s="1"/>
  <c r="F495" i="1"/>
  <c r="E495" i="1" s="1"/>
  <c r="C147" i="1"/>
  <c r="D147" i="1" s="1"/>
  <c r="F147" i="1"/>
  <c r="E147" i="1" s="1"/>
  <c r="C249" i="1"/>
  <c r="D249" i="1" s="1"/>
  <c r="F249" i="1"/>
  <c r="E249" i="1" s="1"/>
  <c r="C531" i="1"/>
  <c r="D531" i="1" s="1"/>
  <c r="F531" i="1"/>
  <c r="E531" i="1" s="1"/>
  <c r="C157" i="1"/>
  <c r="D157" i="1" s="1"/>
  <c r="F157" i="1"/>
  <c r="E157" i="1" s="1"/>
  <c r="C330" i="1"/>
  <c r="D330" i="1" s="1"/>
  <c r="F330" i="1"/>
  <c r="E330" i="1" s="1"/>
  <c r="C331" i="1"/>
  <c r="D331" i="1" s="1"/>
  <c r="F331" i="1"/>
  <c r="E331" i="1" s="1"/>
  <c r="C332" i="1"/>
  <c r="D332" i="1" s="1"/>
  <c r="F332" i="1"/>
  <c r="E332" i="1" s="1"/>
  <c r="C333" i="1"/>
  <c r="D333" i="1" s="1"/>
  <c r="F333" i="1"/>
  <c r="E333" i="1" s="1"/>
  <c r="C334" i="1"/>
  <c r="D334" i="1" s="1"/>
  <c r="F334" i="1"/>
  <c r="E334" i="1" s="1"/>
  <c r="C335" i="1"/>
  <c r="D335" i="1" s="1"/>
  <c r="F335" i="1"/>
  <c r="E335" i="1" s="1"/>
  <c r="C336" i="1"/>
  <c r="D336" i="1" s="1"/>
  <c r="F336" i="1"/>
  <c r="E336" i="1" s="1"/>
  <c r="C337" i="1"/>
  <c r="D337" i="1" s="1"/>
  <c r="F337" i="1"/>
  <c r="E337" i="1" s="1"/>
  <c r="C338" i="1"/>
  <c r="D338" i="1" s="1"/>
  <c r="F338" i="1"/>
  <c r="E338" i="1" s="1"/>
  <c r="C339" i="1"/>
  <c r="D339" i="1" s="1"/>
  <c r="F339" i="1"/>
  <c r="E339" i="1" s="1"/>
  <c r="C340" i="1"/>
  <c r="D340" i="1" s="1"/>
  <c r="F340" i="1"/>
  <c r="E340" i="1" s="1"/>
  <c r="C158" i="1"/>
  <c r="D158" i="1" s="1"/>
  <c r="F158" i="1"/>
  <c r="E158" i="1" s="1"/>
  <c r="C522" i="1"/>
  <c r="D522" i="1" s="1"/>
  <c r="F522" i="1"/>
  <c r="E522" i="1" s="1"/>
  <c r="C504" i="1"/>
  <c r="D504" i="1" s="1"/>
  <c r="F504" i="1"/>
  <c r="E504" i="1" s="1"/>
  <c r="C159" i="1"/>
  <c r="D159" i="1" s="1"/>
  <c r="F159" i="1"/>
  <c r="E159" i="1" s="1"/>
  <c r="C160" i="1"/>
  <c r="D160" i="1" s="1"/>
  <c r="F160" i="1"/>
  <c r="E160" i="1" s="1"/>
  <c r="C517" i="1"/>
  <c r="D517" i="1" s="1"/>
  <c r="F517" i="1"/>
  <c r="E517" i="1" s="1"/>
  <c r="C161" i="1"/>
  <c r="D161" i="1" s="1"/>
  <c r="F161" i="1"/>
  <c r="E161" i="1" s="1"/>
  <c r="C162" i="1"/>
  <c r="D162" i="1" s="1"/>
  <c r="F162" i="1"/>
  <c r="E162" i="1" s="1"/>
  <c r="C505" i="1"/>
  <c r="D505" i="1" s="1"/>
  <c r="F505" i="1"/>
  <c r="E505" i="1" s="1"/>
  <c r="C518" i="1"/>
  <c r="D518" i="1" s="1"/>
  <c r="F518" i="1"/>
  <c r="E518" i="1" s="1"/>
  <c r="C528" i="1"/>
  <c r="D528" i="1" s="1"/>
  <c r="F528" i="1"/>
  <c r="E528" i="1" s="1"/>
  <c r="C519" i="1"/>
  <c r="D519" i="1" s="1"/>
  <c r="F519" i="1"/>
  <c r="E519" i="1" s="1"/>
  <c r="C520" i="1"/>
  <c r="D520" i="1" s="1"/>
  <c r="F520" i="1"/>
  <c r="E520" i="1" s="1"/>
  <c r="C529" i="1"/>
  <c r="D529" i="1" s="1"/>
  <c r="F529" i="1"/>
  <c r="E529" i="1" s="1"/>
  <c r="C521" i="1"/>
  <c r="D521" i="1" s="1"/>
  <c r="F521" i="1"/>
  <c r="E521" i="1" s="1"/>
  <c r="C523" i="1"/>
  <c r="D523" i="1" s="1"/>
  <c r="F523" i="1"/>
  <c r="E523" i="1" s="1"/>
  <c r="C524" i="1"/>
  <c r="D524" i="1" s="1"/>
  <c r="F524" i="1"/>
  <c r="E524" i="1" s="1"/>
  <c r="C498" i="1"/>
  <c r="D498" i="1" s="1"/>
  <c r="F498" i="1"/>
  <c r="E498" i="1" s="1"/>
  <c r="C497" i="1"/>
  <c r="D497" i="1" s="1"/>
  <c r="F497" i="1"/>
  <c r="E497" i="1" s="1"/>
  <c r="C342" i="1"/>
  <c r="D342" i="1" s="1"/>
  <c r="F342" i="1"/>
  <c r="E342" i="1" s="1"/>
  <c r="C326" i="1"/>
  <c r="D326" i="1" s="1"/>
  <c r="F326" i="1"/>
  <c r="E326" i="1" s="1"/>
  <c r="C408" i="1"/>
  <c r="D408" i="1" s="1"/>
  <c r="F408" i="1"/>
  <c r="E408" i="1" s="1"/>
  <c r="C119" i="1"/>
  <c r="D119" i="1" s="1"/>
  <c r="F119" i="1"/>
  <c r="E119" i="1" s="1"/>
  <c r="C291" i="1"/>
  <c r="D291" i="1" s="1"/>
  <c r="F291" i="1"/>
  <c r="E291" i="1" s="1"/>
  <c r="C3" i="1"/>
  <c r="D3" i="1" s="1"/>
  <c r="F3" i="1"/>
  <c r="E3" i="1" s="1"/>
  <c r="C166" i="1"/>
  <c r="D166" i="1" s="1"/>
  <c r="F166" i="1"/>
  <c r="E166" i="1" s="1"/>
  <c r="C255" i="1"/>
  <c r="D255" i="1" s="1"/>
  <c r="F255" i="1"/>
  <c r="E255" i="1" s="1"/>
  <c r="C292" i="1"/>
  <c r="D292" i="1" s="1"/>
  <c r="F292" i="1"/>
  <c r="E292" i="1" s="1"/>
  <c r="C167" i="1"/>
  <c r="D167" i="1" s="1"/>
  <c r="F167" i="1"/>
  <c r="E167" i="1" s="1"/>
  <c r="C250" i="1"/>
  <c r="D250" i="1" s="1"/>
  <c r="F250" i="1"/>
  <c r="E250" i="1" s="1"/>
  <c r="C168" i="1"/>
  <c r="D168" i="1" s="1"/>
  <c r="F168" i="1"/>
  <c r="E168" i="1" s="1"/>
  <c r="C175" i="1"/>
  <c r="D175" i="1" s="1"/>
  <c r="F175" i="1"/>
  <c r="E175" i="1" s="1"/>
  <c r="C95" i="1"/>
  <c r="D95" i="1" s="1"/>
  <c r="F95" i="1"/>
  <c r="E95" i="1" s="1"/>
  <c r="C516" i="1"/>
  <c r="D516" i="1" s="1"/>
  <c r="F516" i="1"/>
  <c r="E516" i="1" s="1"/>
  <c r="C468" i="1"/>
  <c r="D468" i="1" s="1"/>
  <c r="F468" i="1"/>
  <c r="E468" i="1" s="1"/>
  <c r="C506" i="1"/>
  <c r="D506" i="1" s="1"/>
  <c r="F506" i="1"/>
  <c r="E506" i="1" s="1"/>
  <c r="C507" i="1"/>
  <c r="D507" i="1" s="1"/>
  <c r="F507" i="1"/>
  <c r="E507" i="1" s="1"/>
  <c r="C508" i="1"/>
  <c r="D508" i="1" s="1"/>
  <c r="F508" i="1"/>
  <c r="E508" i="1" s="1"/>
  <c r="C509" i="1"/>
  <c r="D509" i="1" s="1"/>
  <c r="F509" i="1"/>
  <c r="E509" i="1" s="1"/>
  <c r="C510" i="1"/>
  <c r="D510" i="1" s="1"/>
  <c r="F510" i="1"/>
  <c r="E510" i="1" s="1"/>
  <c r="C511" i="1"/>
  <c r="D511" i="1" s="1"/>
  <c r="F511" i="1"/>
  <c r="E511" i="1" s="1"/>
  <c r="C512" i="1"/>
  <c r="D512" i="1" s="1"/>
  <c r="F512" i="1"/>
  <c r="E512" i="1" s="1"/>
  <c r="C515" i="1"/>
  <c r="D515" i="1" s="1"/>
  <c r="F515" i="1"/>
  <c r="E515" i="1" s="1"/>
  <c r="C410" i="1"/>
  <c r="D410" i="1" s="1"/>
  <c r="F410" i="1"/>
  <c r="E410" i="1" s="1"/>
  <c r="C406" i="1"/>
  <c r="D406" i="1" s="1"/>
  <c r="F406" i="1"/>
  <c r="E406" i="1" s="1"/>
  <c r="C469" i="1"/>
  <c r="D469" i="1" s="1"/>
  <c r="F469" i="1"/>
  <c r="E469" i="1" s="1"/>
  <c r="C475" i="1"/>
  <c r="D475" i="1" s="1"/>
  <c r="F475" i="1"/>
  <c r="E475" i="1" s="1"/>
  <c r="C493" i="1"/>
  <c r="D493" i="1" s="1"/>
  <c r="F493" i="1"/>
  <c r="E493" i="1" s="1"/>
  <c r="C494" i="1"/>
  <c r="D494" i="1" s="1"/>
  <c r="F494" i="1"/>
  <c r="E494" i="1" s="1"/>
  <c r="C476" i="1"/>
  <c r="D476" i="1" s="1"/>
  <c r="F476" i="1"/>
  <c r="E476" i="1" s="1"/>
  <c r="C477" i="1"/>
  <c r="D477" i="1" s="1"/>
  <c r="F477" i="1"/>
  <c r="E477" i="1" s="1"/>
  <c r="C478" i="1"/>
  <c r="D478" i="1" s="1"/>
  <c r="F478" i="1"/>
  <c r="E478" i="1" s="1"/>
  <c r="C514" i="1"/>
  <c r="D514" i="1" s="1"/>
  <c r="F514" i="1"/>
  <c r="E514" i="1" s="1"/>
  <c r="C487" i="1"/>
  <c r="D487" i="1" s="1"/>
  <c r="F487" i="1"/>
  <c r="E487" i="1" s="1"/>
  <c r="C492" i="1"/>
  <c r="D492" i="1" s="1"/>
  <c r="F492" i="1"/>
  <c r="E492" i="1" s="1"/>
  <c r="C473" i="1"/>
  <c r="D473" i="1" s="1"/>
  <c r="F473" i="1"/>
  <c r="E473" i="1" s="1"/>
  <c r="C513" i="1"/>
  <c r="D513" i="1" s="1"/>
  <c r="F513" i="1"/>
  <c r="E513" i="1" s="1"/>
  <c r="C227" i="1"/>
  <c r="D227" i="1" s="1"/>
  <c r="F227" i="1"/>
  <c r="E227" i="1" s="1"/>
  <c r="C500" i="1"/>
  <c r="D500" i="1" s="1"/>
  <c r="F500" i="1"/>
  <c r="E500" i="1" s="1"/>
  <c r="C488" i="1"/>
  <c r="D488" i="1" s="1"/>
  <c r="F488" i="1"/>
  <c r="E488" i="1" s="1"/>
  <c r="C486" i="1"/>
  <c r="D486" i="1" s="1"/>
  <c r="F486" i="1"/>
  <c r="E486" i="1" s="1"/>
  <c r="C489" i="1"/>
  <c r="D489" i="1" s="1"/>
  <c r="F489" i="1"/>
  <c r="E489" i="1" s="1"/>
  <c r="C490" i="1"/>
  <c r="D490" i="1" s="1"/>
  <c r="F490" i="1"/>
  <c r="E490" i="1" s="1"/>
  <c r="C325" i="1"/>
  <c r="D325" i="1" s="1"/>
  <c r="F325" i="1"/>
  <c r="E325" i="1" s="1"/>
  <c r="C501" i="1"/>
  <c r="D501" i="1" s="1"/>
  <c r="F501" i="1"/>
  <c r="E501" i="1" s="1"/>
  <c r="C502" i="1"/>
  <c r="D502" i="1" s="1"/>
  <c r="F502" i="1"/>
  <c r="E502" i="1" s="1"/>
  <c r="C503" i="1"/>
  <c r="D503" i="1" s="1"/>
  <c r="F503" i="1"/>
  <c r="E503" i="1" s="1"/>
  <c r="C484" i="1"/>
  <c r="D484" i="1" s="1"/>
  <c r="F484" i="1"/>
  <c r="E484" i="1" s="1"/>
  <c r="C479" i="1"/>
  <c r="D479" i="1" s="1"/>
  <c r="F479" i="1"/>
  <c r="E479" i="1" s="1"/>
  <c r="C480" i="1"/>
  <c r="D480" i="1" s="1"/>
  <c r="F480" i="1"/>
  <c r="E480" i="1" s="1"/>
  <c r="C214" i="1"/>
  <c r="D214" i="1" s="1"/>
  <c r="F214" i="1"/>
  <c r="E214" i="1" s="1"/>
  <c r="C443" i="1"/>
  <c r="D443" i="1" s="1"/>
  <c r="F443" i="1"/>
  <c r="E443" i="1" s="1"/>
  <c r="C483" i="1"/>
  <c r="D483" i="1" s="1"/>
  <c r="F483" i="1"/>
  <c r="E483" i="1" s="1"/>
  <c r="C217" i="1"/>
  <c r="D217" i="1" s="1"/>
  <c r="F217" i="1"/>
  <c r="E217" i="1" s="1"/>
  <c r="C297" i="1"/>
  <c r="D297" i="1" s="1"/>
  <c r="F297" i="1"/>
  <c r="E297" i="1" s="1"/>
  <c r="C298" i="1"/>
  <c r="D298" i="1" s="1"/>
  <c r="F298" i="1"/>
  <c r="E298" i="1" s="1"/>
  <c r="C299" i="1"/>
  <c r="D299" i="1" s="1"/>
  <c r="F299" i="1"/>
  <c r="E299" i="1" s="1"/>
  <c r="C300" i="1"/>
  <c r="D300" i="1" s="1"/>
  <c r="F300" i="1"/>
  <c r="E300" i="1" s="1"/>
  <c r="C271" i="1"/>
  <c r="D271" i="1" s="1"/>
  <c r="F271" i="1"/>
  <c r="E271" i="1" s="1"/>
  <c r="C453" i="1"/>
  <c r="D453" i="1" s="1"/>
  <c r="F453" i="1"/>
  <c r="E453" i="1" s="1"/>
  <c r="C296" i="1"/>
  <c r="D296" i="1" s="1"/>
  <c r="F296" i="1"/>
  <c r="E296" i="1" s="1"/>
  <c r="C230" i="1"/>
  <c r="D230" i="1" s="1"/>
  <c r="F230" i="1"/>
  <c r="E230" i="1" s="1"/>
  <c r="C470" i="1"/>
  <c r="D470" i="1" s="1"/>
  <c r="F470" i="1"/>
  <c r="E470" i="1" s="1"/>
  <c r="C263" i="1"/>
  <c r="D263" i="1" s="1"/>
  <c r="F263" i="1"/>
  <c r="E263" i="1" s="1"/>
  <c r="C243" i="1"/>
  <c r="D243" i="1" s="1"/>
  <c r="F243" i="1"/>
  <c r="E243" i="1" s="1"/>
  <c r="C472" i="1"/>
  <c r="D472" i="1" s="1"/>
  <c r="F472" i="1"/>
  <c r="E472" i="1" s="1"/>
  <c r="C474" i="1"/>
  <c r="D474" i="1" s="1"/>
  <c r="F474" i="1"/>
  <c r="E474" i="1" s="1"/>
  <c r="C367" i="1"/>
  <c r="D367" i="1" s="1"/>
  <c r="F367" i="1"/>
  <c r="E367" i="1" s="1"/>
  <c r="C184" i="1"/>
  <c r="D184" i="1" s="1"/>
  <c r="F184" i="1"/>
  <c r="E184" i="1" s="1"/>
  <c r="C307" i="1"/>
  <c r="D307" i="1" s="1"/>
  <c r="F307" i="1"/>
  <c r="E307" i="1" s="1"/>
  <c r="C289" i="1"/>
  <c r="D289" i="1" s="1"/>
  <c r="F289" i="1"/>
  <c r="E289" i="1" s="1"/>
  <c r="C23" i="1"/>
  <c r="D23" i="1" s="1"/>
  <c r="F23" i="1"/>
  <c r="E23" i="1" s="1"/>
  <c r="C471" i="1"/>
  <c r="D471" i="1" s="1"/>
  <c r="F471" i="1"/>
  <c r="E471" i="1" s="1"/>
  <c r="C447" i="1"/>
  <c r="D447" i="1" s="1"/>
  <c r="F447" i="1"/>
  <c r="E447" i="1" s="1"/>
  <c r="C265" i="1"/>
  <c r="D265" i="1" s="1"/>
  <c r="F265" i="1"/>
  <c r="E265" i="1" s="1"/>
  <c r="C45" i="1"/>
  <c r="D45" i="1" s="1"/>
  <c r="F45" i="1"/>
  <c r="E45" i="1" s="1"/>
  <c r="C18" i="1"/>
  <c r="D18" i="1" s="1"/>
  <c r="F18" i="1"/>
  <c r="E18" i="1" s="1"/>
  <c r="C407" i="1"/>
  <c r="D407" i="1" s="1"/>
  <c r="F407" i="1"/>
  <c r="E407" i="1" s="1"/>
  <c r="C327" i="1"/>
  <c r="D327" i="1" s="1"/>
  <c r="F327" i="1"/>
  <c r="E327" i="1" s="1"/>
  <c r="C412" i="1"/>
  <c r="D412" i="1" s="1"/>
  <c r="F412" i="1"/>
  <c r="E412" i="1" s="1"/>
  <c r="C239" i="1"/>
  <c r="D239" i="1" s="1"/>
  <c r="F239" i="1"/>
  <c r="E239" i="1" s="1"/>
  <c r="C449" i="1"/>
  <c r="D449" i="1" s="1"/>
  <c r="F449" i="1"/>
  <c r="E449" i="1" s="1"/>
  <c r="C420" i="1"/>
  <c r="D420" i="1" s="1"/>
  <c r="F420" i="1"/>
  <c r="E420" i="1" s="1"/>
  <c r="C355" i="1"/>
  <c r="D355" i="1" s="1"/>
  <c r="F355" i="1"/>
  <c r="E355" i="1" s="1"/>
  <c r="C134" i="1"/>
  <c r="D134" i="1" s="1"/>
  <c r="F134" i="1"/>
  <c r="E134" i="1" s="1"/>
  <c r="C116" i="1"/>
  <c r="D116" i="1" s="1"/>
  <c r="F116" i="1"/>
  <c r="E116" i="1" s="1"/>
  <c r="C456" i="1"/>
  <c r="D456" i="1" s="1"/>
  <c r="F456" i="1"/>
  <c r="E456" i="1" s="1"/>
  <c r="C398" i="1"/>
  <c r="D398" i="1" s="1"/>
  <c r="F398" i="1"/>
  <c r="E398" i="1" s="1"/>
  <c r="C127" i="1"/>
  <c r="D127" i="1" s="1"/>
  <c r="F127" i="1"/>
  <c r="E127" i="1" s="1"/>
  <c r="C399" i="1"/>
  <c r="D399" i="1" s="1"/>
  <c r="F399" i="1"/>
  <c r="E399" i="1" s="1"/>
  <c r="C400" i="1"/>
  <c r="D400" i="1" s="1"/>
  <c r="F400" i="1"/>
  <c r="E400" i="1" s="1"/>
  <c r="C173" i="1"/>
  <c r="D173" i="1" s="1"/>
  <c r="F173" i="1"/>
  <c r="E173" i="1" s="1"/>
  <c r="C305" i="1"/>
  <c r="D305" i="1" s="1"/>
  <c r="F305" i="1"/>
  <c r="E305" i="1" s="1"/>
  <c r="C446" i="1"/>
  <c r="D446" i="1" s="1"/>
  <c r="F446" i="1"/>
  <c r="E446" i="1" s="1"/>
  <c r="C414" i="1"/>
  <c r="D414" i="1" s="1"/>
  <c r="F414" i="1"/>
  <c r="E414" i="1" s="1"/>
  <c r="C415" i="1"/>
  <c r="D415" i="1" s="1"/>
  <c r="F415" i="1"/>
  <c r="E415" i="1" s="1"/>
  <c r="C413" i="1"/>
  <c r="D413" i="1" s="1"/>
  <c r="F413" i="1"/>
  <c r="E413" i="1" s="1"/>
  <c r="C384" i="1"/>
  <c r="D384" i="1" s="1"/>
  <c r="F384" i="1"/>
  <c r="E384" i="1" s="1"/>
  <c r="C308" i="1"/>
  <c r="D308" i="1" s="1"/>
  <c r="F308" i="1"/>
  <c r="E308" i="1" s="1"/>
  <c r="C409" i="1"/>
  <c r="D409" i="1" s="1"/>
  <c r="F409" i="1"/>
  <c r="E409" i="1" s="1"/>
  <c r="C16" i="1"/>
  <c r="D16" i="1" s="1"/>
  <c r="F16" i="1"/>
  <c r="E16" i="1" s="1"/>
  <c r="C253" i="1"/>
  <c r="D253" i="1" s="1"/>
  <c r="F253" i="1"/>
  <c r="E253" i="1" s="1"/>
  <c r="C441" i="1"/>
  <c r="D441" i="1" s="1"/>
  <c r="F441" i="1"/>
  <c r="E441" i="1" s="1"/>
  <c r="C288" i="1"/>
  <c r="D288" i="1" s="1"/>
  <c r="F288" i="1"/>
  <c r="E288" i="1" s="1"/>
  <c r="C422" i="1"/>
  <c r="D422" i="1" s="1"/>
  <c r="F422" i="1"/>
  <c r="E422" i="1" s="1"/>
  <c r="C341" i="1"/>
  <c r="D341" i="1" s="1"/>
  <c r="F341" i="1"/>
  <c r="E341" i="1" s="1"/>
  <c r="C343" i="1"/>
  <c r="D343" i="1" s="1"/>
  <c r="F343" i="1"/>
  <c r="E343" i="1" s="1"/>
  <c r="C344" i="1"/>
  <c r="D344" i="1" s="1"/>
  <c r="F344" i="1"/>
  <c r="E344" i="1" s="1"/>
  <c r="C345" i="1"/>
  <c r="D345" i="1" s="1"/>
  <c r="F345" i="1"/>
  <c r="E345" i="1" s="1"/>
  <c r="C417" i="1"/>
  <c r="D417" i="1" s="1"/>
  <c r="F417" i="1"/>
  <c r="E417" i="1" s="1"/>
  <c r="C421" i="1"/>
  <c r="D421" i="1" s="1"/>
  <c r="F421" i="1"/>
  <c r="E421" i="1" s="1"/>
  <c r="C416" i="1"/>
  <c r="D416" i="1" s="1"/>
  <c r="F416" i="1"/>
  <c r="E416" i="1" s="1"/>
  <c r="C418" i="1"/>
  <c r="D418" i="1" s="1"/>
  <c r="F418" i="1"/>
  <c r="E418" i="1" s="1"/>
  <c r="C419" i="1"/>
  <c r="D419" i="1" s="1"/>
  <c r="F419" i="1"/>
  <c r="E419" i="1" s="1"/>
  <c r="C31" i="1"/>
  <c r="D31" i="1" s="1"/>
  <c r="F31" i="1"/>
  <c r="E31" i="1" s="1"/>
  <c r="C48" i="1"/>
  <c r="D48" i="1" s="1"/>
  <c r="F48" i="1"/>
  <c r="E48" i="1" s="1"/>
  <c r="C49" i="1"/>
  <c r="D49" i="1" s="1"/>
  <c r="F49" i="1"/>
  <c r="E49" i="1" s="1"/>
  <c r="C257" i="1"/>
  <c r="D257" i="1" s="1"/>
  <c r="F257" i="1"/>
  <c r="E257" i="1" s="1"/>
  <c r="C50" i="1"/>
  <c r="D50" i="1" s="1"/>
  <c r="F50" i="1"/>
  <c r="E50" i="1" s="1"/>
  <c r="C269" i="1"/>
  <c r="D269" i="1" s="1"/>
  <c r="F269" i="1"/>
  <c r="E269" i="1" s="1"/>
  <c r="C36" i="1"/>
  <c r="D36" i="1" s="1"/>
  <c r="F36" i="1"/>
  <c r="E36" i="1" s="1"/>
  <c r="C218" i="1"/>
  <c r="D218" i="1" s="1"/>
  <c r="F218" i="1"/>
  <c r="E218" i="1" s="1"/>
  <c r="C231" i="1"/>
  <c r="D231" i="1" s="1"/>
  <c r="F231" i="1"/>
  <c r="E231" i="1" s="1"/>
  <c r="C169" i="1"/>
  <c r="D169" i="1" s="1"/>
  <c r="F169" i="1"/>
  <c r="E169" i="1" s="1"/>
  <c r="C315" i="1"/>
  <c r="D315" i="1" s="1"/>
  <c r="F315" i="1"/>
  <c r="E315" i="1" s="1"/>
  <c r="C361" i="1"/>
  <c r="D361" i="1" s="1"/>
  <c r="F361" i="1"/>
  <c r="E361" i="1" s="1"/>
  <c r="C401" i="1"/>
  <c r="D401" i="1" s="1"/>
  <c r="F401" i="1"/>
  <c r="E401" i="1" s="1"/>
  <c r="C402" i="1"/>
  <c r="D402" i="1" s="1"/>
  <c r="F402" i="1"/>
  <c r="E402" i="1" s="1"/>
  <c r="C403" i="1"/>
  <c r="D403" i="1" s="1"/>
  <c r="F403" i="1"/>
  <c r="E403" i="1" s="1"/>
  <c r="C392" i="1"/>
  <c r="D392" i="1" s="1"/>
  <c r="F392" i="1"/>
  <c r="E392" i="1" s="1"/>
  <c r="C40" i="1"/>
  <c r="D40" i="1" s="1"/>
  <c r="F40" i="1"/>
  <c r="E40" i="1" s="1"/>
  <c r="C38" i="1"/>
  <c r="D38" i="1" s="1"/>
  <c r="F38" i="1"/>
  <c r="E38" i="1" s="1"/>
  <c r="C362" i="1"/>
  <c r="D362" i="1" s="1"/>
  <c r="F362" i="1"/>
  <c r="E362" i="1" s="1"/>
  <c r="C146" i="1"/>
  <c r="D146" i="1" s="1"/>
  <c r="F146" i="1"/>
  <c r="E146" i="1" s="1"/>
  <c r="C363" i="1"/>
  <c r="D363" i="1" s="1"/>
  <c r="F363" i="1"/>
  <c r="E363" i="1" s="1"/>
  <c r="C387" i="1"/>
  <c r="D387" i="1" s="1"/>
  <c r="F387" i="1"/>
  <c r="E387" i="1" s="1"/>
  <c r="C359" i="1"/>
  <c r="D359" i="1" s="1"/>
  <c r="F359" i="1"/>
  <c r="E359" i="1" s="1"/>
  <c r="C103" i="1"/>
  <c r="D103" i="1" s="1"/>
  <c r="F103" i="1"/>
  <c r="E103" i="1" s="1"/>
  <c r="C385" i="1"/>
  <c r="D385" i="1" s="1"/>
  <c r="F385" i="1"/>
  <c r="E385" i="1" s="1"/>
  <c r="C379" i="1"/>
  <c r="D379" i="1" s="1"/>
  <c r="F379" i="1"/>
  <c r="E379" i="1" s="1"/>
  <c r="C386" i="1"/>
  <c r="D386" i="1" s="1"/>
  <c r="F386" i="1"/>
  <c r="E386" i="1" s="1"/>
  <c r="C380" i="1"/>
  <c r="D380" i="1" s="1"/>
  <c r="F380" i="1"/>
  <c r="E380" i="1" s="1"/>
  <c r="C301" i="1"/>
  <c r="D301" i="1" s="1"/>
  <c r="F301" i="1"/>
  <c r="E301" i="1" s="1"/>
  <c r="C381" i="1"/>
  <c r="D381" i="1" s="1"/>
  <c r="F381" i="1"/>
  <c r="E381" i="1" s="1"/>
  <c r="C171" i="1"/>
  <c r="D171" i="1" s="1"/>
  <c r="F171" i="1"/>
  <c r="E171" i="1" s="1"/>
  <c r="C17" i="1"/>
  <c r="D17" i="1" s="1"/>
  <c r="F17" i="1"/>
  <c r="E17" i="1" s="1"/>
  <c r="C323" i="1"/>
  <c r="D323" i="1" s="1"/>
  <c r="F323" i="1"/>
  <c r="E323" i="1" s="1"/>
  <c r="C221" i="1"/>
  <c r="D221" i="1" s="1"/>
  <c r="F221" i="1"/>
  <c r="E221" i="1" s="1"/>
  <c r="C310" i="1"/>
  <c r="D310" i="1" s="1"/>
  <c r="F310" i="1"/>
  <c r="E310" i="1" s="1"/>
  <c r="C195" i="1"/>
  <c r="D195" i="1" s="1"/>
  <c r="F195" i="1"/>
  <c r="E195" i="1" s="1"/>
  <c r="C196" i="1"/>
  <c r="D196" i="1" s="1"/>
  <c r="F196" i="1"/>
  <c r="E196" i="1" s="1"/>
  <c r="C197" i="1"/>
  <c r="D197" i="1" s="1"/>
  <c r="F197" i="1"/>
  <c r="E197" i="1" s="1"/>
  <c r="C198" i="1"/>
  <c r="D198" i="1" s="1"/>
  <c r="F198" i="1"/>
  <c r="E198" i="1" s="1"/>
  <c r="C60" i="1"/>
  <c r="D60" i="1" s="1"/>
  <c r="F60" i="1"/>
  <c r="E60" i="1" s="1"/>
  <c r="C61" i="1"/>
  <c r="D61" i="1" s="1"/>
  <c r="F61" i="1"/>
  <c r="E61" i="1" s="1"/>
  <c r="C62" i="1"/>
  <c r="D62" i="1" s="1"/>
  <c r="F62" i="1"/>
  <c r="E62" i="1" s="1"/>
  <c r="C63" i="1"/>
  <c r="D63" i="1" s="1"/>
  <c r="F63" i="1"/>
  <c r="E63" i="1" s="1"/>
  <c r="C64" i="1"/>
  <c r="D64" i="1" s="1"/>
  <c r="F64" i="1"/>
  <c r="E64" i="1" s="1"/>
  <c r="C65" i="1"/>
  <c r="D65" i="1" s="1"/>
  <c r="F65" i="1"/>
  <c r="E65" i="1" s="1"/>
  <c r="C66" i="1"/>
  <c r="D66" i="1" s="1"/>
  <c r="F66" i="1"/>
  <c r="E66" i="1" s="1"/>
  <c r="C67" i="1"/>
  <c r="D67" i="1" s="1"/>
  <c r="F67" i="1"/>
  <c r="E67" i="1" s="1"/>
  <c r="C68" i="1"/>
  <c r="D68" i="1" s="1"/>
  <c r="F68" i="1"/>
  <c r="E68" i="1" s="1"/>
  <c r="C69" i="1"/>
  <c r="D69" i="1" s="1"/>
  <c r="F69" i="1"/>
  <c r="E69" i="1" s="1"/>
  <c r="C70" i="1"/>
  <c r="D70" i="1" s="1"/>
  <c r="F70" i="1"/>
  <c r="E70" i="1" s="1"/>
  <c r="C71" i="1"/>
  <c r="D71" i="1" s="1"/>
  <c r="F71" i="1"/>
  <c r="E71" i="1" s="1"/>
  <c r="C89" i="1"/>
  <c r="D89" i="1" s="1"/>
  <c r="F89" i="1"/>
  <c r="E89" i="1" s="1"/>
  <c r="C163" i="1"/>
  <c r="D163" i="1" s="1"/>
  <c r="F163" i="1"/>
  <c r="E163" i="1" s="1"/>
  <c r="C322" i="1"/>
  <c r="D322" i="1" s="1"/>
  <c r="F322" i="1"/>
  <c r="E322" i="1" s="1"/>
  <c r="C128" i="1"/>
  <c r="D128" i="1" s="1"/>
  <c r="F128" i="1"/>
  <c r="E128" i="1" s="1"/>
  <c r="C129" i="1"/>
  <c r="D129" i="1" s="1"/>
  <c r="F129" i="1"/>
  <c r="E129" i="1" s="1"/>
  <c r="C130" i="1"/>
  <c r="D130" i="1" s="1"/>
  <c r="F130" i="1"/>
  <c r="E130" i="1" s="1"/>
  <c r="C317" i="1"/>
  <c r="D317" i="1" s="1"/>
  <c r="F317" i="1"/>
  <c r="E317" i="1" s="1"/>
  <c r="C318" i="1"/>
  <c r="D318" i="1" s="1"/>
  <c r="F318" i="1"/>
  <c r="E318" i="1" s="1"/>
  <c r="C319" i="1"/>
  <c r="D319" i="1" s="1"/>
  <c r="F319" i="1"/>
  <c r="E319" i="1" s="1"/>
  <c r="C309" i="1"/>
  <c r="D309" i="1" s="1"/>
  <c r="F309" i="1"/>
  <c r="E309" i="1" s="1"/>
  <c r="C282" i="1"/>
  <c r="D282" i="1" s="1"/>
  <c r="F282" i="1"/>
  <c r="E282" i="1" s="1"/>
  <c r="C321" i="1"/>
  <c r="D321" i="1" s="1"/>
  <c r="F321" i="1"/>
  <c r="E321" i="1" s="1"/>
  <c r="C293" i="1"/>
  <c r="D293" i="1" s="1"/>
  <c r="F293" i="1"/>
  <c r="E293" i="1" s="1"/>
  <c r="C311" i="1"/>
  <c r="D311" i="1" s="1"/>
  <c r="F311" i="1"/>
  <c r="E311" i="1" s="1"/>
  <c r="C33" i="1"/>
  <c r="D33" i="1" s="1"/>
  <c r="F33" i="1"/>
  <c r="E33" i="1" s="1"/>
  <c r="C266" i="1"/>
  <c r="D266" i="1" s="1"/>
  <c r="F266" i="1"/>
  <c r="E266" i="1" s="1"/>
  <c r="C189" i="1"/>
  <c r="D189" i="1" s="1"/>
  <c r="F189" i="1"/>
  <c r="E189" i="1" s="1"/>
  <c r="C236" i="1"/>
  <c r="D236" i="1" s="1"/>
  <c r="F236" i="1"/>
  <c r="E236" i="1" s="1"/>
  <c r="C43" i="1"/>
  <c r="D43" i="1" s="1"/>
  <c r="F43" i="1"/>
  <c r="E43" i="1" s="1"/>
  <c r="C115" i="1"/>
  <c r="D115" i="1" s="1"/>
  <c r="F115" i="1"/>
  <c r="E115" i="1" s="1"/>
  <c r="C139" i="1"/>
  <c r="D139" i="1" s="1"/>
  <c r="F139" i="1"/>
  <c r="E139" i="1" s="1"/>
  <c r="C140" i="1"/>
  <c r="D140" i="1" s="1"/>
  <c r="F140" i="1"/>
  <c r="E140" i="1" s="1"/>
  <c r="C34" i="1"/>
  <c r="D34" i="1" s="1"/>
  <c r="F34" i="1"/>
  <c r="E34" i="1" s="1"/>
  <c r="C141" i="1"/>
  <c r="D141" i="1" s="1"/>
  <c r="F141" i="1"/>
  <c r="E141" i="1" s="1"/>
  <c r="C46" i="1"/>
  <c r="D46" i="1" s="1"/>
  <c r="F46" i="1"/>
  <c r="E46" i="1" s="1"/>
  <c r="C284" i="1"/>
  <c r="D284" i="1" s="1"/>
  <c r="F284" i="1"/>
  <c r="E284" i="1" s="1"/>
  <c r="C290" i="1"/>
  <c r="D290" i="1" s="1"/>
  <c r="F290" i="1"/>
  <c r="E290" i="1" s="1"/>
  <c r="C295" i="1"/>
  <c r="D295" i="1" s="1"/>
  <c r="F295" i="1"/>
  <c r="E295" i="1" s="1"/>
  <c r="C254" i="1"/>
  <c r="D254" i="1" s="1"/>
  <c r="F254" i="1"/>
  <c r="E254" i="1" s="1"/>
  <c r="C286" i="1"/>
  <c r="D286" i="1" s="1"/>
  <c r="F286" i="1"/>
  <c r="E286" i="1" s="1"/>
  <c r="C287" i="1"/>
  <c r="D287" i="1" s="1"/>
  <c r="F287" i="1"/>
  <c r="E287" i="1" s="1"/>
  <c r="C272" i="1"/>
  <c r="D272" i="1" s="1"/>
  <c r="F272" i="1"/>
  <c r="E272" i="1" s="1"/>
  <c r="C273" i="1"/>
  <c r="D273" i="1" s="1"/>
  <c r="F273" i="1"/>
  <c r="E273" i="1" s="1"/>
  <c r="C274" i="1"/>
  <c r="D274" i="1" s="1"/>
  <c r="F274" i="1"/>
  <c r="E274" i="1" s="1"/>
  <c r="C275" i="1"/>
  <c r="D275" i="1" s="1"/>
  <c r="F275" i="1"/>
  <c r="E275" i="1" s="1"/>
  <c r="C276" i="1"/>
  <c r="D276" i="1" s="1"/>
  <c r="F276" i="1"/>
  <c r="E276" i="1" s="1"/>
  <c r="C277" i="1"/>
  <c r="D277" i="1" s="1"/>
  <c r="F277" i="1"/>
  <c r="E277" i="1" s="1"/>
  <c r="C278" i="1"/>
  <c r="D278" i="1" s="1"/>
  <c r="F278" i="1"/>
  <c r="E278" i="1" s="1"/>
  <c r="C279" i="1"/>
  <c r="D279" i="1" s="1"/>
  <c r="F279" i="1"/>
  <c r="E279" i="1" s="1"/>
  <c r="C280" i="1"/>
  <c r="D280" i="1" s="1"/>
  <c r="F280" i="1"/>
  <c r="E280" i="1" s="1"/>
  <c r="C281" i="1"/>
  <c r="D281" i="1" s="1"/>
  <c r="F281" i="1"/>
  <c r="E281" i="1" s="1"/>
  <c r="C24" i="1"/>
  <c r="D24" i="1" s="1"/>
  <c r="F24" i="1"/>
  <c r="E24" i="1" s="1"/>
  <c r="C262" i="1"/>
  <c r="D262" i="1" s="1"/>
  <c r="F262" i="1"/>
  <c r="E262" i="1" s="1"/>
  <c r="C261" i="1"/>
  <c r="D261" i="1" s="1"/>
  <c r="F261" i="1"/>
  <c r="E261" i="1" s="1"/>
  <c r="C2" i="1"/>
  <c r="D2" i="1" s="1"/>
  <c r="F2" i="1"/>
  <c r="E2" i="1" s="1"/>
  <c r="C246" i="1"/>
  <c r="D246" i="1" s="1"/>
  <c r="F246" i="1"/>
  <c r="E246" i="1" s="1"/>
  <c r="C247" i="1"/>
  <c r="D247" i="1" s="1"/>
  <c r="F247" i="1"/>
  <c r="E247" i="1" s="1"/>
  <c r="C256" i="1"/>
  <c r="D256" i="1" s="1"/>
  <c r="F256" i="1"/>
  <c r="E256" i="1" s="1"/>
  <c r="C220" i="1"/>
  <c r="D220" i="1" s="1"/>
  <c r="F220" i="1"/>
  <c r="E220" i="1" s="1"/>
  <c r="C245" i="1"/>
  <c r="D245" i="1" s="1"/>
  <c r="F245" i="1"/>
  <c r="E245" i="1" s="1"/>
  <c r="C244" i="1"/>
  <c r="D244" i="1" s="1"/>
  <c r="F244" i="1"/>
  <c r="E244" i="1" s="1"/>
  <c r="C234" i="1"/>
  <c r="D234" i="1" s="1"/>
  <c r="F234" i="1"/>
  <c r="E234" i="1" s="1"/>
  <c r="C235" i="1"/>
  <c r="D235" i="1" s="1"/>
  <c r="F235" i="1"/>
  <c r="E235" i="1" s="1"/>
  <c r="C233" i="1"/>
  <c r="D233" i="1" s="1"/>
  <c r="F233" i="1"/>
  <c r="E233" i="1" s="1"/>
  <c r="C186" i="1"/>
  <c r="D186" i="1" s="1"/>
  <c r="F186" i="1"/>
  <c r="E186" i="1" s="1"/>
  <c r="C232" i="1"/>
  <c r="D232" i="1" s="1"/>
  <c r="F232" i="1"/>
  <c r="E232" i="1" s="1"/>
  <c r="C194" i="1"/>
  <c r="D194" i="1" s="1"/>
  <c r="F194" i="1"/>
  <c r="E194" i="1" s="1"/>
  <c r="C192" i="1"/>
  <c r="D192" i="1" s="1"/>
  <c r="F192" i="1"/>
  <c r="E192" i="1" s="1"/>
  <c r="C216" i="1"/>
  <c r="D216" i="1" s="1"/>
  <c r="F216" i="1"/>
  <c r="E216" i="1" s="1"/>
  <c r="C210" i="1"/>
  <c r="D210" i="1" s="1"/>
  <c r="F210" i="1"/>
  <c r="E210" i="1" s="1"/>
  <c r="C211" i="1"/>
  <c r="D211" i="1" s="1"/>
  <c r="F211" i="1"/>
  <c r="E211" i="1" s="1"/>
  <c r="C213" i="1"/>
  <c r="D213" i="1" s="1"/>
  <c r="F213" i="1"/>
  <c r="E213" i="1" s="1"/>
  <c r="C219" i="1"/>
  <c r="D219" i="1" s="1"/>
  <c r="F219" i="1"/>
  <c r="E219" i="1" s="1"/>
  <c r="C212" i="1"/>
  <c r="D212" i="1" s="1"/>
  <c r="F212" i="1"/>
  <c r="E212" i="1" s="1"/>
  <c r="C215" i="1"/>
  <c r="D215" i="1" s="1"/>
  <c r="F215" i="1"/>
  <c r="E215" i="1" s="1"/>
  <c r="C190" i="1"/>
  <c r="D190" i="1" s="1"/>
  <c r="F190" i="1"/>
  <c r="E190" i="1" s="1"/>
  <c r="C205" i="1"/>
  <c r="D205" i="1" s="1"/>
  <c r="F205" i="1"/>
  <c r="E205" i="1" s="1"/>
  <c r="C203" i="1"/>
  <c r="D203" i="1" s="1"/>
  <c r="F203" i="1"/>
  <c r="E203" i="1" s="1"/>
  <c r="C208" i="1"/>
  <c r="D208" i="1" s="1"/>
  <c r="F208" i="1"/>
  <c r="E208" i="1" s="1"/>
  <c r="C206" i="1"/>
  <c r="D206" i="1" s="1"/>
  <c r="F206" i="1"/>
  <c r="E206" i="1" s="1"/>
  <c r="C201" i="1"/>
  <c r="D201" i="1" s="1"/>
  <c r="F201" i="1"/>
  <c r="E201" i="1" s="1"/>
  <c r="C131" i="1"/>
  <c r="D131" i="1" s="1"/>
  <c r="F131" i="1"/>
  <c r="E131" i="1" s="1"/>
  <c r="C176" i="1"/>
  <c r="D176" i="1" s="1"/>
  <c r="F176" i="1"/>
  <c r="E176" i="1" s="1"/>
  <c r="C165" i="1"/>
  <c r="D165" i="1" s="1"/>
  <c r="F165" i="1"/>
  <c r="E165" i="1" s="1"/>
  <c r="C80" i="1"/>
  <c r="D80" i="1" s="1"/>
  <c r="F80" i="1"/>
  <c r="E80" i="1" s="1"/>
  <c r="C177" i="1"/>
  <c r="D177" i="1" s="1"/>
  <c r="F177" i="1"/>
  <c r="E177" i="1" s="1"/>
  <c r="C180" i="1"/>
  <c r="D180" i="1" s="1"/>
  <c r="F180" i="1"/>
  <c r="E180" i="1" s="1"/>
  <c r="C181" i="1"/>
  <c r="D181" i="1" s="1"/>
  <c r="F181" i="1"/>
  <c r="E181" i="1" s="1"/>
  <c r="C228" i="1"/>
  <c r="D228" i="1" s="1"/>
  <c r="F228" i="1"/>
  <c r="E228" i="1" s="1"/>
  <c r="C237" i="1"/>
  <c r="D237" i="1" s="1"/>
  <c r="F237" i="1"/>
  <c r="E237" i="1" s="1"/>
  <c r="C223" i="1"/>
  <c r="D223" i="1" s="1"/>
  <c r="F223" i="1"/>
  <c r="E223" i="1" s="1"/>
  <c r="C42" i="1"/>
  <c r="D42" i="1" s="1"/>
  <c r="F42" i="1"/>
  <c r="E42" i="1" s="1"/>
  <c r="C209" i="1"/>
  <c r="D209" i="1" s="1"/>
  <c r="F209" i="1"/>
  <c r="E209" i="1" s="1"/>
  <c r="C32" i="1"/>
  <c r="D32" i="1" s="1"/>
  <c r="F32" i="1"/>
  <c r="E32" i="1" s="1"/>
  <c r="C191" i="1"/>
  <c r="D191" i="1" s="1"/>
  <c r="F191" i="1"/>
  <c r="E191" i="1" s="1"/>
  <c r="C199" i="1"/>
  <c r="D199" i="1" s="1"/>
  <c r="F199" i="1"/>
  <c r="E199" i="1" s="1"/>
  <c r="C200" i="1"/>
  <c r="D200" i="1" s="1"/>
  <c r="F200" i="1"/>
  <c r="E200" i="1" s="1"/>
  <c r="C204" i="1"/>
  <c r="D204" i="1" s="1"/>
  <c r="F204" i="1"/>
  <c r="E204" i="1" s="1"/>
  <c r="C164" i="1"/>
  <c r="D164" i="1" s="1"/>
  <c r="F164" i="1"/>
  <c r="E164" i="1" s="1"/>
  <c r="C39" i="1"/>
  <c r="D39" i="1" s="1"/>
  <c r="F39" i="1"/>
  <c r="E39" i="1" s="1"/>
  <c r="C76" i="1"/>
  <c r="D76" i="1" s="1"/>
  <c r="F76" i="1"/>
  <c r="E76" i="1" s="1"/>
  <c r="C142" i="1"/>
  <c r="D142" i="1" s="1"/>
  <c r="F142" i="1"/>
  <c r="E142" i="1" s="1"/>
  <c r="C148" i="1"/>
  <c r="D148" i="1" s="1"/>
  <c r="F148" i="1"/>
  <c r="E148" i="1" s="1"/>
  <c r="C149" i="1"/>
  <c r="D149" i="1" s="1"/>
  <c r="F149" i="1"/>
  <c r="E149" i="1" s="1"/>
  <c r="C143" i="1"/>
  <c r="D143" i="1" s="1"/>
  <c r="F143" i="1"/>
  <c r="E143" i="1" s="1"/>
  <c r="C174" i="1"/>
  <c r="D174" i="1" s="1"/>
  <c r="F174" i="1"/>
  <c r="E174" i="1" s="1"/>
  <c r="C104" i="1"/>
  <c r="D104" i="1" s="1"/>
  <c r="F104" i="1"/>
  <c r="E104" i="1" s="1"/>
  <c r="C193" i="1"/>
  <c r="D193" i="1" s="1"/>
  <c r="F193" i="1"/>
  <c r="E193" i="1" s="1"/>
  <c r="C110" i="1"/>
  <c r="D110" i="1" s="1"/>
  <c r="F110" i="1"/>
  <c r="E110" i="1" s="1"/>
  <c r="C111" i="1"/>
  <c r="D111" i="1" s="1"/>
  <c r="F111" i="1"/>
  <c r="E111" i="1" s="1"/>
  <c r="C187" i="1"/>
  <c r="D187" i="1" s="1"/>
  <c r="F187" i="1"/>
  <c r="E187" i="1" s="1"/>
  <c r="C182" i="1"/>
  <c r="D182" i="1" s="1"/>
  <c r="F182" i="1"/>
  <c r="E182" i="1" s="1"/>
  <c r="C183" i="1"/>
  <c r="D183" i="1" s="1"/>
  <c r="F183" i="1"/>
  <c r="E183" i="1" s="1"/>
  <c r="C150" i="1"/>
  <c r="D150" i="1" s="1"/>
  <c r="F150" i="1"/>
  <c r="E150" i="1" s="1"/>
  <c r="C126" i="1"/>
  <c r="D126" i="1" s="1"/>
  <c r="F126" i="1"/>
  <c r="E126" i="1" s="1"/>
  <c r="C72" i="1"/>
  <c r="D72" i="1" s="1"/>
  <c r="F72" i="1"/>
  <c r="E72" i="1" s="1"/>
  <c r="C170" i="1"/>
  <c r="D170" i="1" s="1"/>
  <c r="F170" i="1"/>
  <c r="E170" i="1" s="1"/>
  <c r="C144" i="1"/>
  <c r="D144" i="1" s="1"/>
  <c r="F144" i="1"/>
  <c r="E144" i="1" s="1"/>
  <c r="C145" i="1"/>
  <c r="D145" i="1" s="1"/>
  <c r="F145" i="1"/>
  <c r="E145" i="1" s="1"/>
  <c r="C137" i="1"/>
  <c r="D137" i="1" s="1"/>
  <c r="F137" i="1"/>
  <c r="E137" i="1" s="1"/>
  <c r="C78" i="1"/>
  <c r="D78" i="1" s="1"/>
  <c r="F78" i="1"/>
  <c r="E78" i="1" s="1"/>
  <c r="C26" i="1"/>
  <c r="D26" i="1" s="1"/>
  <c r="F26" i="1"/>
  <c r="E26" i="1" s="1"/>
  <c r="C25" i="1"/>
  <c r="D25" i="1" s="1"/>
  <c r="F25" i="1"/>
  <c r="E25" i="1" s="1"/>
  <c r="C4" i="1"/>
  <c r="D4" i="1" s="1"/>
  <c r="F4" i="1"/>
  <c r="E4" i="1" s="1"/>
  <c r="C12" i="1"/>
  <c r="D12" i="1" s="1"/>
  <c r="F12" i="1"/>
  <c r="E12" i="1" s="1"/>
  <c r="C30" i="1"/>
  <c r="D30" i="1" s="1"/>
  <c r="F30" i="1"/>
  <c r="E30" i="1" s="1"/>
  <c r="C188" i="1"/>
  <c r="D188" i="1" s="1"/>
  <c r="F188" i="1"/>
  <c r="E188" i="1" s="1"/>
  <c r="C94" i="1"/>
  <c r="D94" i="1" s="1"/>
  <c r="F94" i="1"/>
  <c r="E94" i="1" s="1"/>
  <c r="C138" i="1"/>
  <c r="D138" i="1" s="1"/>
  <c r="F138" i="1"/>
  <c r="E138" i="1" s="1"/>
  <c r="C47" i="1"/>
  <c r="D47" i="1" s="1"/>
  <c r="F47" i="1"/>
  <c r="E47" i="1" s="1"/>
  <c r="C98" i="1"/>
  <c r="D98" i="1" s="1"/>
  <c r="F98" i="1"/>
  <c r="E98" i="1" s="1"/>
  <c r="C114" i="1"/>
  <c r="D114" i="1" s="1"/>
  <c r="F114" i="1"/>
  <c r="E114" i="1" s="1"/>
  <c r="C135" i="1"/>
  <c r="D135" i="1" s="1"/>
  <c r="F135" i="1"/>
  <c r="E135" i="1" s="1"/>
  <c r="C75" i="1"/>
  <c r="D75" i="1" s="1"/>
  <c r="F75" i="1"/>
  <c r="E75" i="1" s="1"/>
  <c r="C41" i="1"/>
  <c r="D41" i="1" s="1"/>
  <c r="F41" i="1"/>
  <c r="E41" i="1" s="1"/>
  <c r="C132" i="1"/>
  <c r="D132" i="1" s="1"/>
  <c r="F132" i="1"/>
  <c r="E132" i="1" s="1"/>
  <c r="C93" i="1"/>
  <c r="D93" i="1" s="1"/>
  <c r="F93" i="1"/>
  <c r="E93" i="1" s="1"/>
  <c r="C88" i="1"/>
  <c r="D88" i="1" s="1"/>
  <c r="F88" i="1"/>
  <c r="E88" i="1" s="1"/>
  <c r="C133" i="1"/>
  <c r="D133" i="1" s="1"/>
  <c r="F133" i="1"/>
  <c r="E133" i="1" s="1"/>
  <c r="C97" i="1"/>
  <c r="D97" i="1" s="1"/>
  <c r="F97" i="1"/>
  <c r="E97" i="1" s="1"/>
  <c r="C121" i="1"/>
  <c r="D121" i="1" s="1"/>
  <c r="F121" i="1"/>
  <c r="E121" i="1" s="1"/>
  <c r="C122" i="1"/>
  <c r="D122" i="1" s="1"/>
  <c r="F122" i="1"/>
  <c r="E122" i="1" s="1"/>
  <c r="C123" i="1"/>
  <c r="D123" i="1" s="1"/>
  <c r="F123" i="1"/>
  <c r="E123" i="1" s="1"/>
  <c r="C124" i="1"/>
  <c r="D124" i="1" s="1"/>
  <c r="F124" i="1"/>
  <c r="E124" i="1" s="1"/>
  <c r="C13" i="1"/>
  <c r="D13" i="1" s="1"/>
  <c r="F13" i="1"/>
  <c r="E13" i="1" s="1"/>
  <c r="C118" i="1"/>
  <c r="D118" i="1" s="1"/>
  <c r="F118" i="1"/>
  <c r="E118" i="1" s="1"/>
  <c r="C87" i="1"/>
  <c r="D87" i="1" s="1"/>
  <c r="F87" i="1"/>
  <c r="E87" i="1" s="1"/>
  <c r="C74" i="1"/>
  <c r="D74" i="1" s="1"/>
  <c r="F74" i="1"/>
  <c r="E74" i="1" s="1"/>
  <c r="C79" i="1"/>
  <c r="D79" i="1" s="1"/>
  <c r="F79" i="1"/>
  <c r="E79" i="1" s="1"/>
  <c r="C35" i="1"/>
  <c r="D35" i="1" s="1"/>
  <c r="F35" i="1"/>
  <c r="E35" i="1" s="1"/>
  <c r="C37" i="1"/>
  <c r="D37" i="1" s="1"/>
  <c r="F37" i="1"/>
  <c r="E37" i="1" s="1"/>
  <c r="C58" i="1"/>
  <c r="D58" i="1" s="1"/>
  <c r="F58" i="1"/>
  <c r="E58" i="1" s="1"/>
  <c r="C125" i="1"/>
  <c r="D125" i="1" s="1"/>
  <c r="F125" i="1"/>
  <c r="E125" i="1" s="1"/>
  <c r="C96" i="1"/>
  <c r="D96" i="1" s="1"/>
  <c r="F96" i="1"/>
  <c r="E96" i="1" s="1"/>
  <c r="C101" i="1"/>
  <c r="D101" i="1" s="1"/>
  <c r="F101" i="1"/>
  <c r="E101" i="1" s="1"/>
  <c r="C102" i="1"/>
  <c r="D102" i="1" s="1"/>
  <c r="F102" i="1"/>
  <c r="E102" i="1" s="1"/>
  <c r="C91" i="1"/>
  <c r="D91" i="1" s="1"/>
  <c r="F91" i="1"/>
  <c r="E91" i="1" s="1"/>
  <c r="C92" i="1"/>
  <c r="D92" i="1" s="1"/>
  <c r="F92" i="1"/>
  <c r="E92" i="1" s="1"/>
  <c r="C73" i="1"/>
  <c r="D73" i="1" s="1"/>
  <c r="F73" i="1"/>
  <c r="E73" i="1" s="1"/>
  <c r="C51" i="1"/>
  <c r="D51" i="1" s="1"/>
  <c r="F51" i="1"/>
  <c r="E51" i="1" s="1"/>
  <c r="C52" i="1"/>
  <c r="D52" i="1" s="1"/>
  <c r="F52" i="1"/>
  <c r="E52" i="1" s="1"/>
  <c r="C53" i="1"/>
  <c r="D53" i="1" s="1"/>
  <c r="F53" i="1"/>
  <c r="E53" i="1" s="1"/>
  <c r="C54" i="1"/>
  <c r="D54" i="1" s="1"/>
  <c r="F54" i="1"/>
  <c r="E54" i="1" s="1"/>
  <c r="C55" i="1"/>
  <c r="D55" i="1" s="1"/>
  <c r="F55" i="1"/>
  <c r="E55" i="1" s="1"/>
  <c r="C14" i="1"/>
  <c r="D14" i="1" s="1"/>
  <c r="F14" i="1"/>
  <c r="E14" i="1" s="1"/>
  <c r="C19" i="1"/>
  <c r="D19" i="1" s="1"/>
  <c r="F19" i="1"/>
  <c r="E19" i="1" s="1"/>
  <c r="C8" i="1"/>
  <c r="D8" i="1" s="1"/>
  <c r="F8" i="1"/>
  <c r="E8" i="1" s="1"/>
  <c r="C9" i="1"/>
  <c r="D9" i="1" s="1"/>
  <c r="F9" i="1"/>
  <c r="E9" i="1" s="1"/>
  <c r="C27" i="1"/>
  <c r="D27" i="1" s="1"/>
  <c r="F27" i="1"/>
  <c r="E27" i="1" s="1"/>
  <c r="C6" i="1"/>
  <c r="D6" i="1" s="1"/>
  <c r="F6" i="1"/>
  <c r="E6" i="1" s="1"/>
  <c r="C15" i="1"/>
  <c r="D15" i="1" s="1"/>
  <c r="F15" i="1"/>
  <c r="E15" i="1" s="1"/>
  <c r="C28" i="1"/>
  <c r="D28" i="1" s="1"/>
  <c r="F28" i="1"/>
  <c r="E28" i="1" s="1"/>
  <c r="C22" i="1"/>
  <c r="D22" i="1" s="1"/>
  <c r="F22" i="1"/>
  <c r="E22" i="1" s="1"/>
  <c r="C21" i="1"/>
  <c r="D21" i="1" s="1"/>
  <c r="F21" i="1"/>
  <c r="E21" i="1" s="1"/>
  <c r="C20" i="1"/>
  <c r="D20" i="1" s="1"/>
  <c r="F20" i="1"/>
  <c r="E20" i="1" s="1"/>
  <c r="C7" i="1"/>
  <c r="D7" i="1" s="1"/>
  <c r="F7" i="1"/>
  <c r="E7" i="1" s="1"/>
</calcChain>
</file>

<file path=xl/sharedStrings.xml><?xml version="1.0" encoding="utf-8"?>
<sst xmlns="http://schemas.openxmlformats.org/spreadsheetml/2006/main" count="3417" uniqueCount="1619">
  <si>
    <t>Title</t>
  </si>
  <si>
    <t>SOA</t>
  </si>
  <si>
    <t>EOA</t>
  </si>
  <si>
    <t>Country of Origin</t>
  </si>
  <si>
    <t>Year of release</t>
  </si>
  <si>
    <t>France</t>
  </si>
  <si>
    <t>classics</t>
  </si>
  <si>
    <t>fantasy</t>
  </si>
  <si>
    <t>horror</t>
  </si>
  <si>
    <t>D001009</t>
  </si>
  <si>
    <t>Deep End</t>
  </si>
  <si>
    <t>Federal Republic of Germany</t>
  </si>
  <si>
    <t>comedy</t>
  </si>
  <si>
    <t>drama</t>
  </si>
  <si>
    <t>Jerzy Skolimowski</t>
  </si>
  <si>
    <t>D014222</t>
  </si>
  <si>
    <t>Battleship Potemkin</t>
  </si>
  <si>
    <t>USSR</t>
  </si>
  <si>
    <t>history</t>
  </si>
  <si>
    <t>Sergei M. Eisenstein</t>
  </si>
  <si>
    <t>S035021</t>
  </si>
  <si>
    <t>L'Atalante</t>
  </si>
  <si>
    <t>romance</t>
  </si>
  <si>
    <t>Jean Vigo</t>
  </si>
  <si>
    <t>Robert Bresson</t>
  </si>
  <si>
    <t>S035030</t>
  </si>
  <si>
    <t>Late Spring</t>
  </si>
  <si>
    <t>Japan</t>
  </si>
  <si>
    <t>Yasujirō Ozu</t>
  </si>
  <si>
    <t>D000517</t>
  </si>
  <si>
    <t>Man With a Movie Camera</t>
  </si>
  <si>
    <t>documentary</t>
  </si>
  <si>
    <t>music</t>
  </si>
  <si>
    <t>Dziga Vertov</t>
  </si>
  <si>
    <t>D003345</t>
  </si>
  <si>
    <t>Citizen Kane</t>
  </si>
  <si>
    <t>USA</t>
  </si>
  <si>
    <t>mystery</t>
  </si>
  <si>
    <t>Orson Welles</t>
  </si>
  <si>
    <t>D002277</t>
  </si>
  <si>
    <t>Throne of Blood</t>
  </si>
  <si>
    <t>action</t>
  </si>
  <si>
    <t>Akira Kurosawa</t>
  </si>
  <si>
    <t>D001307</t>
  </si>
  <si>
    <t>8½</t>
  </si>
  <si>
    <t>Italy</t>
  </si>
  <si>
    <t>Federico Fellini</t>
  </si>
  <si>
    <t>D000032</t>
  </si>
  <si>
    <t>Persona</t>
  </si>
  <si>
    <t>Sweden</t>
  </si>
  <si>
    <t>thriller</t>
  </si>
  <si>
    <t>Ingmar Bergman</t>
  </si>
  <si>
    <t>biography</t>
  </si>
  <si>
    <t>D018840</t>
  </si>
  <si>
    <t>Nosferatu the Vampyre</t>
  </si>
  <si>
    <t>Werner Herzog</t>
  </si>
  <si>
    <t>S034626</t>
  </si>
  <si>
    <t>La Règle du jeu</t>
  </si>
  <si>
    <t>Jean Renoir</t>
  </si>
  <si>
    <t>F000118</t>
  </si>
  <si>
    <t>Requiem for a Village</t>
  </si>
  <si>
    <t>United Kingdom</t>
  </si>
  <si>
    <t>David Gladwell</t>
  </si>
  <si>
    <t>D002813</t>
  </si>
  <si>
    <t>Journey to Italy</t>
  </si>
  <si>
    <t>Roberto Rossellini</t>
  </si>
  <si>
    <t>D002855</t>
  </si>
  <si>
    <t>Sunrise A Song of Two Humans</t>
  </si>
  <si>
    <t>F.W. Murnau</t>
  </si>
  <si>
    <t>D002293</t>
  </si>
  <si>
    <t>Seven Samurai</t>
  </si>
  <si>
    <t>S035037</t>
  </si>
  <si>
    <t>Tokyo Story</t>
  </si>
  <si>
    <t>S034203</t>
  </si>
  <si>
    <t>Un Chien Andalou</t>
  </si>
  <si>
    <t>short_films</t>
  </si>
  <si>
    <t>Luis Buñuel</t>
  </si>
  <si>
    <t>D018569</t>
  </si>
  <si>
    <t>Haunters of the Deep</t>
  </si>
  <si>
    <t>kids_and_family</t>
  </si>
  <si>
    <t>Andrew Bogle</t>
  </si>
  <si>
    <t>D017282</t>
  </si>
  <si>
    <t>The Great White Silence</t>
  </si>
  <si>
    <t>adventure</t>
  </si>
  <si>
    <t>Herbert G. Ponting</t>
  </si>
  <si>
    <t>D031386</t>
  </si>
  <si>
    <t>Nosferatu</t>
  </si>
  <si>
    <t>Germany</t>
  </si>
  <si>
    <t>S034799</t>
  </si>
  <si>
    <t>The Passion of Joan of Arc</t>
  </si>
  <si>
    <t>Carl Th. Dreyer</t>
  </si>
  <si>
    <t>F000701</t>
  </si>
  <si>
    <t>A Personal Journey… Part 2</t>
  </si>
  <si>
    <t>Martin Scorsese</t>
  </si>
  <si>
    <t>Michael Henry Wilson</t>
  </si>
  <si>
    <t>F000703</t>
  </si>
  <si>
    <t>100 Years of Japanese Cinema</t>
  </si>
  <si>
    <t>Nagisa Oshima</t>
  </si>
  <si>
    <t>Spain</t>
  </si>
  <si>
    <t>D017344</t>
  </si>
  <si>
    <t>Home</t>
  </si>
  <si>
    <t>Switzerland</t>
  </si>
  <si>
    <t>Ursula Meier</t>
  </si>
  <si>
    <t>D017405</t>
  </si>
  <si>
    <t>The White Ribbon</t>
  </si>
  <si>
    <t>Michael Haneke</t>
  </si>
  <si>
    <t>D019481</t>
  </si>
  <si>
    <t>Dogtooth</t>
  </si>
  <si>
    <t>Greece</t>
  </si>
  <si>
    <t>Yorgos Lanthimos</t>
  </si>
  <si>
    <t>Thailand</t>
  </si>
  <si>
    <t>Apichatpong Weerasethakul</t>
  </si>
  <si>
    <t>D018789</t>
  </si>
  <si>
    <t>The Arbor</t>
  </si>
  <si>
    <t>Clio Barnard</t>
  </si>
  <si>
    <t>D019526</t>
  </si>
  <si>
    <t>Weekend</t>
  </si>
  <si>
    <t>lgbtq</t>
  </si>
  <si>
    <t>Andrew Haigh</t>
  </si>
  <si>
    <t>D018617</t>
  </si>
  <si>
    <t>Wuthering Heights</t>
  </si>
  <si>
    <t>Andrea Arnold</t>
  </si>
  <si>
    <t>D019393</t>
  </si>
  <si>
    <t>My Brother the Devil</t>
  </si>
  <si>
    <t>crime</t>
  </si>
  <si>
    <t>teens</t>
  </si>
  <si>
    <t>Sally El Hosaini</t>
  </si>
  <si>
    <t>D019118</t>
  </si>
  <si>
    <t>The Stuart Hall Project</t>
  </si>
  <si>
    <t>John Akomfrah</t>
  </si>
  <si>
    <t>F000340</t>
  </si>
  <si>
    <t>Death and Transfiguration</t>
  </si>
  <si>
    <t>Terence Davies</t>
  </si>
  <si>
    <t>F000128</t>
  </si>
  <si>
    <t>Children</t>
  </si>
  <si>
    <t>F000600</t>
  </si>
  <si>
    <t>Madonna and Child</t>
  </si>
  <si>
    <t>F000324</t>
  </si>
  <si>
    <t>Smart Alek</t>
  </si>
  <si>
    <t>Andrew Kötting</t>
  </si>
  <si>
    <t>D017663</t>
  </si>
  <si>
    <t>The Blood on Satan's Claw</t>
  </si>
  <si>
    <t>Piers Haggard</t>
  </si>
  <si>
    <t>D018798</t>
  </si>
  <si>
    <t>Berberian Sound Studio</t>
  </si>
  <si>
    <t>Peter Strickland</t>
  </si>
  <si>
    <t>A Personal Journey… Part 3</t>
  </si>
  <si>
    <t>A Personal Journey... Part 1</t>
  </si>
  <si>
    <t>D017140</t>
  </si>
  <si>
    <t>The Epic of Everest</t>
  </si>
  <si>
    <t>J.B.L. Noel</t>
  </si>
  <si>
    <t>F000223</t>
  </si>
  <si>
    <t>The Angelic Conversation</t>
  </si>
  <si>
    <t>Derek Jarman</t>
  </si>
  <si>
    <t>F000392</t>
  </si>
  <si>
    <t>Nighthawks</t>
  </si>
  <si>
    <t>Ron Peck</t>
  </si>
  <si>
    <t>D002980</t>
  </si>
  <si>
    <t>Sebastiane</t>
  </si>
  <si>
    <t>Paul Humfress</t>
  </si>
  <si>
    <t>D002979</t>
  </si>
  <si>
    <t>Jubilee</t>
  </si>
  <si>
    <t>F000227</t>
  </si>
  <si>
    <t>Caravaggio</t>
  </si>
  <si>
    <t>F000229</t>
  </si>
  <si>
    <t>What Can I Do with a Male Nude?</t>
  </si>
  <si>
    <t>D004300</t>
  </si>
  <si>
    <t>Pink Narcissus</t>
  </si>
  <si>
    <t>independent</t>
  </si>
  <si>
    <t>James Bidgood</t>
  </si>
  <si>
    <t>F000276</t>
  </si>
  <si>
    <t>Flames of Passion</t>
  </si>
  <si>
    <t>Richard Kwietniowski</t>
  </si>
  <si>
    <t>F000303</t>
  </si>
  <si>
    <t>Rosebud</t>
  </si>
  <si>
    <t>Cheryl Farthing</t>
  </si>
  <si>
    <t>F000292</t>
  </si>
  <si>
    <t>Nighthawks 2: Strip Jack Naked</t>
  </si>
  <si>
    <t>F000336</t>
  </si>
  <si>
    <t>Wittgenstein</t>
  </si>
  <si>
    <t>F000368</t>
  </si>
  <si>
    <t>Love Is the Devil: Study for a Portrait of Francis Bacon</t>
  </si>
  <si>
    <t>John Maybury</t>
  </si>
  <si>
    <t>D022060</t>
  </si>
  <si>
    <t>Stranger by the Lake</t>
  </si>
  <si>
    <t>Alain Guiraudie</t>
  </si>
  <si>
    <t>D022065</t>
  </si>
  <si>
    <t>XXY</t>
  </si>
  <si>
    <t>Argentina</t>
  </si>
  <si>
    <t>Lucía Puenzo</t>
  </si>
  <si>
    <t>D022034</t>
  </si>
  <si>
    <t>Tomboy</t>
  </si>
  <si>
    <t>Céline Sciamma</t>
  </si>
  <si>
    <t>D022033</t>
  </si>
  <si>
    <t>Interior. Leather Bar.</t>
  </si>
  <si>
    <t>James Franco</t>
  </si>
  <si>
    <t>Travis Mathews</t>
  </si>
  <si>
    <t>F000287</t>
  </si>
  <si>
    <t>Relax</t>
  </si>
  <si>
    <t>Christopher Newby</t>
  </si>
  <si>
    <t>F000269</t>
  </si>
  <si>
    <t>Young Soul Rebels</t>
  </si>
  <si>
    <t>Isaac Julien</t>
  </si>
  <si>
    <t>F000038</t>
  </si>
  <si>
    <t>The Lay of the Land</t>
  </si>
  <si>
    <t>Fraser Macdonald</t>
  </si>
  <si>
    <t>D022023</t>
  </si>
  <si>
    <t>Bastards</t>
  </si>
  <si>
    <t>Claire Denis</t>
  </si>
  <si>
    <t>D022024</t>
  </si>
  <si>
    <t>Exhibition</t>
  </si>
  <si>
    <t>Joanna Hogg</t>
  </si>
  <si>
    <t>D022025</t>
  </si>
  <si>
    <t>Nymphomaniac Vol. I</t>
  </si>
  <si>
    <t>Denmark</t>
  </si>
  <si>
    <t>Lars von Trier</t>
  </si>
  <si>
    <t>D022026</t>
  </si>
  <si>
    <t>Nymphomaniac Vol. II</t>
  </si>
  <si>
    <t>D001257</t>
  </si>
  <si>
    <t>The Tempest</t>
  </si>
  <si>
    <t>D002310</t>
  </si>
  <si>
    <t>War Requiem</t>
  </si>
  <si>
    <t>war</t>
  </si>
  <si>
    <t>D014230</t>
  </si>
  <si>
    <t>The Last of England</t>
  </si>
  <si>
    <t>D022154</t>
  </si>
  <si>
    <t>The Lunchbox</t>
  </si>
  <si>
    <t>India</t>
  </si>
  <si>
    <t>Ritesh Batra</t>
  </si>
  <si>
    <t>D018790</t>
  </si>
  <si>
    <t>Red Road</t>
  </si>
  <si>
    <t>D023340</t>
  </si>
  <si>
    <t>Kelly + Victor</t>
  </si>
  <si>
    <t>Kieran Evans</t>
  </si>
  <si>
    <t>Vittorio De Sica</t>
  </si>
  <si>
    <t>F000213</t>
  </si>
  <si>
    <t>The Draughtsman's Contract</t>
  </si>
  <si>
    <t>Peter Greenaway</t>
  </si>
  <si>
    <t>F000185</t>
  </si>
  <si>
    <t>The Falls</t>
  </si>
  <si>
    <t>sci_fi</t>
  </si>
  <si>
    <t>F000225</t>
  </si>
  <si>
    <t>A Zed and Two Noughts</t>
  </si>
  <si>
    <t>D023730</t>
  </si>
  <si>
    <t>I Am Divine</t>
  </si>
  <si>
    <t>Jeffrey Schwarz</t>
  </si>
  <si>
    <t>D023332</t>
  </si>
  <si>
    <t>Room 237</t>
  </si>
  <si>
    <t>Rodney Ascher</t>
  </si>
  <si>
    <t>D023900</t>
  </si>
  <si>
    <t>A Touch of Sin</t>
  </si>
  <si>
    <t>People's Republic of China</t>
  </si>
  <si>
    <t>Jia Zhangke</t>
  </si>
  <si>
    <t>D023322</t>
  </si>
  <si>
    <t>Hyena</t>
  </si>
  <si>
    <t>Gerard Johnson</t>
  </si>
  <si>
    <t>D023759</t>
  </si>
  <si>
    <t>Unrelated</t>
  </si>
  <si>
    <t>D023752</t>
  </si>
  <si>
    <t>Helen</t>
  </si>
  <si>
    <t>Christine Molloy</t>
  </si>
  <si>
    <t>Joe Lawlor</t>
  </si>
  <si>
    <t>D023755</t>
  </si>
  <si>
    <t>Once Upon a Time in Anatolia</t>
  </si>
  <si>
    <t>Turkey</t>
  </si>
  <si>
    <t>Nuri Bilge Ceylan</t>
  </si>
  <si>
    <t>D023797</t>
  </si>
  <si>
    <t>Two Days, One Night</t>
  </si>
  <si>
    <t>Belgium</t>
  </si>
  <si>
    <t>Jean-Pierre Dardenne</t>
  </si>
  <si>
    <t>Luc Dardenne</t>
  </si>
  <si>
    <t>D011325</t>
  </si>
  <si>
    <t>The Day the Earth Caught Fire</t>
  </si>
  <si>
    <t>Val Guest</t>
  </si>
  <si>
    <t>Dario Argento</t>
  </si>
  <si>
    <t>D024118</t>
  </si>
  <si>
    <t>Nightwatching</t>
  </si>
  <si>
    <t>Netherlands</t>
  </si>
  <si>
    <t>D020924</t>
  </si>
  <si>
    <t>Goltzius and the Pelican Company</t>
  </si>
  <si>
    <t>D011455</t>
  </si>
  <si>
    <t>Fantastic Planet</t>
  </si>
  <si>
    <t>animation</t>
  </si>
  <si>
    <t>René Laloux</t>
  </si>
  <si>
    <t>D002128</t>
  </si>
  <si>
    <t>Metropolis</t>
  </si>
  <si>
    <t>Fritz Lang</t>
  </si>
  <si>
    <t>S030471</t>
  </si>
  <si>
    <t>Scanners</t>
  </si>
  <si>
    <t>Canada</t>
  </si>
  <si>
    <t>David Cronenberg</t>
  </si>
  <si>
    <t>S031925</t>
  </si>
  <si>
    <t>The Brood</t>
  </si>
  <si>
    <t>D012575</t>
  </si>
  <si>
    <t>M</t>
  </si>
  <si>
    <t>D001206</t>
  </si>
  <si>
    <t>The Battle of Algiers</t>
  </si>
  <si>
    <t>Gillo Pontecorvo</t>
  </si>
  <si>
    <t>D024378</t>
  </si>
  <si>
    <t>Suspiria</t>
  </si>
  <si>
    <t>D001697</t>
  </si>
  <si>
    <t>Salon Kitty</t>
  </si>
  <si>
    <t>Tinto Brass</t>
  </si>
  <si>
    <t>S038267</t>
  </si>
  <si>
    <t>I'm British But...</t>
  </si>
  <si>
    <t>Gurinder Chadha</t>
  </si>
  <si>
    <t>D001701</t>
  </si>
  <si>
    <t>The Beast</t>
  </si>
  <si>
    <t>Walerian Borowczyk</t>
  </si>
  <si>
    <t>D001851</t>
  </si>
  <si>
    <t>Immoral Tales</t>
  </si>
  <si>
    <t>D024679</t>
  </si>
  <si>
    <t>Eastern Boys</t>
  </si>
  <si>
    <t>Robin Campillo</t>
  </si>
  <si>
    <t>D025497</t>
  </si>
  <si>
    <t>Winter Sleep</t>
  </si>
  <si>
    <t>D024855</t>
  </si>
  <si>
    <t>Gone Too Far!</t>
  </si>
  <si>
    <t>Destiny Ekaragha</t>
  </si>
  <si>
    <t>D024688</t>
  </si>
  <si>
    <t>You and the Night</t>
  </si>
  <si>
    <t>Yann Gonzalez</t>
  </si>
  <si>
    <t>D024681</t>
  </si>
  <si>
    <t>Margarita</t>
  </si>
  <si>
    <t>Dominique Cardona</t>
  </si>
  <si>
    <t>Laurie Colbert</t>
  </si>
  <si>
    <t>D025512</t>
  </si>
  <si>
    <t>Reaching for the Moon</t>
  </si>
  <si>
    <t>Brazil</t>
  </si>
  <si>
    <t>Bruno Barreto</t>
  </si>
  <si>
    <t>F000257</t>
  </si>
  <si>
    <t>Play Me Something</t>
  </si>
  <si>
    <t>Timothy Neat</t>
  </si>
  <si>
    <t>D012506</t>
  </si>
  <si>
    <t>Room at the Top</t>
  </si>
  <si>
    <t>Jack Clayton</t>
  </si>
  <si>
    <t>S032703</t>
  </si>
  <si>
    <t>Letter to Brezhnev</t>
  </si>
  <si>
    <t>Chris Bernard</t>
  </si>
  <si>
    <t>D024676</t>
  </si>
  <si>
    <t>Appropriate Behaviour</t>
  </si>
  <si>
    <t>Desiree Akhavan</t>
  </si>
  <si>
    <t>D014604</t>
  </si>
  <si>
    <t>Heart of the Angel</t>
  </si>
  <si>
    <t>Molly Dineen</t>
  </si>
  <si>
    <t>F000379</t>
  </si>
  <si>
    <t>Sixth Happiness</t>
  </si>
  <si>
    <t>Waris Hussein</t>
  </si>
  <si>
    <t>F000131</t>
  </si>
  <si>
    <t>Pressure</t>
  </si>
  <si>
    <t>Horace Ové</t>
  </si>
  <si>
    <t>F000198</t>
  </si>
  <si>
    <t>Burning an Illusion</t>
  </si>
  <si>
    <t>Menelik Shabazz</t>
  </si>
  <si>
    <t>D025691</t>
  </si>
  <si>
    <t>Wild Tales</t>
  </si>
  <si>
    <t>Damian Szifron</t>
  </si>
  <si>
    <t>D025692</t>
  </si>
  <si>
    <t>The Duke of Burgundy</t>
  </si>
  <si>
    <t>D025782</t>
  </si>
  <si>
    <t>Possession</t>
  </si>
  <si>
    <t>Andrzej Zulawski</t>
  </si>
  <si>
    <t>D001297</t>
  </si>
  <si>
    <t>Betty Blue</t>
  </si>
  <si>
    <t>Jean-Jacques Beineix</t>
  </si>
  <si>
    <t>D026124</t>
  </si>
  <si>
    <t>The Tribe</t>
  </si>
  <si>
    <t>Ukraine</t>
  </si>
  <si>
    <t>Myroslav Slaboshpytskiy</t>
  </si>
  <si>
    <t>D026123</t>
  </si>
  <si>
    <t>The New Girlfriend</t>
  </si>
  <si>
    <t>François Ozon</t>
  </si>
  <si>
    <t>D017287</t>
  </si>
  <si>
    <t>Fish Tank</t>
  </si>
  <si>
    <t>F000408</t>
  </si>
  <si>
    <t xml:space="preserve">London </t>
  </si>
  <si>
    <t>Patrick Keiller</t>
  </si>
  <si>
    <t>D001038</t>
  </si>
  <si>
    <t>Trans-Europ-Express</t>
  </si>
  <si>
    <t>Alain Robbe-Grillet</t>
  </si>
  <si>
    <t>D026303</t>
  </si>
  <si>
    <t>Second Coming</t>
  </si>
  <si>
    <t>debbie tucker green</t>
  </si>
  <si>
    <t>S038632</t>
  </si>
  <si>
    <t>Land and Freedom</t>
  </si>
  <si>
    <t>Ken Loach</t>
  </si>
  <si>
    <t>S034383</t>
  </si>
  <si>
    <t>Aguirre - Wrath of God</t>
  </si>
  <si>
    <t>D011753</t>
  </si>
  <si>
    <t>The Killing of a Chinese Bookie</t>
  </si>
  <si>
    <t>John Cassavetes</t>
  </si>
  <si>
    <t>D001370</t>
  </si>
  <si>
    <t>A Woman Under the Influence</t>
  </si>
  <si>
    <t>D026143</t>
  </si>
  <si>
    <t>52 Tuesdays</t>
  </si>
  <si>
    <t>Australia</t>
  </si>
  <si>
    <t>Sophie Hyde</t>
  </si>
  <si>
    <t>D001329</t>
  </si>
  <si>
    <t>The Bad Sleep Well</t>
  </si>
  <si>
    <t>S034412</t>
  </si>
  <si>
    <t>Celine and Julie Go Boating</t>
  </si>
  <si>
    <t>Jacques Rivette</t>
  </si>
  <si>
    <t>D018824</t>
  </si>
  <si>
    <t>Cobra Verde</t>
  </si>
  <si>
    <t>D013222</t>
  </si>
  <si>
    <t>Dodes'Ka-Den</t>
  </si>
  <si>
    <t>D001323</t>
  </si>
  <si>
    <t>Drunken Angel</t>
  </si>
  <si>
    <t>D011445</t>
  </si>
  <si>
    <t>Faces</t>
  </si>
  <si>
    <t>S034452</t>
  </si>
  <si>
    <t>The Enigma of Kaspar Hauser</t>
  </si>
  <si>
    <t>D018829</t>
  </si>
  <si>
    <t>Fata Morgana</t>
  </si>
  <si>
    <t>S034154</t>
  </si>
  <si>
    <t>Fitzcarraldo</t>
  </si>
  <si>
    <t>D013259</t>
  </si>
  <si>
    <t>Floating Clouds</t>
  </si>
  <si>
    <t>Mikio Naruse</t>
  </si>
  <si>
    <t>D001328</t>
  </si>
  <si>
    <t>The Hidden Fortress</t>
  </si>
  <si>
    <t>D001330</t>
  </si>
  <si>
    <t>High and Low</t>
  </si>
  <si>
    <t>S034478</t>
  </si>
  <si>
    <t>The Great Ecstasy of Woodcarver Steiner</t>
  </si>
  <si>
    <t>sports</t>
  </si>
  <si>
    <t>S038374</t>
  </si>
  <si>
    <t>Land of Silence and Darkness</t>
  </si>
  <si>
    <t>D012653</t>
  </si>
  <si>
    <t>Ikiru</t>
  </si>
  <si>
    <t>D001326</t>
  </si>
  <si>
    <t>I Live in Fear</t>
  </si>
  <si>
    <t>D001327</t>
  </si>
  <si>
    <t>The Lower Depths</t>
  </si>
  <si>
    <t>S034149</t>
  </si>
  <si>
    <t>Les Enfants Terribles</t>
  </si>
  <si>
    <t>Jean-Pierre Melville</t>
  </si>
  <si>
    <t>D013261</t>
  </si>
  <si>
    <t>Late Chrysanthemums</t>
  </si>
  <si>
    <t>D012711</t>
  </si>
  <si>
    <t>More</t>
  </si>
  <si>
    <t>Luxembourg</t>
  </si>
  <si>
    <t>Barbet Schroeder</t>
  </si>
  <si>
    <t>Pier Paolo Pasolini</t>
  </si>
  <si>
    <t>D001325</t>
  </si>
  <si>
    <t>The Men Who Tread on the Tiger's Tail</t>
  </si>
  <si>
    <t>D001320</t>
  </si>
  <si>
    <t>The Most Beautiful</t>
  </si>
  <si>
    <t>D012710</t>
  </si>
  <si>
    <t>Maitresse</t>
  </si>
  <si>
    <t>F000109</t>
  </si>
  <si>
    <t>My Ain Folk</t>
  </si>
  <si>
    <t>Bill Douglas</t>
  </si>
  <si>
    <t>F000086</t>
  </si>
  <si>
    <t>My Childhood</t>
  </si>
  <si>
    <t>F000132</t>
  </si>
  <si>
    <t>My Way Home</t>
  </si>
  <si>
    <t>D001321</t>
  </si>
  <si>
    <t>No Regrets for Our Youth</t>
  </si>
  <si>
    <t>D014063</t>
  </si>
  <si>
    <t>Opening Night</t>
  </si>
  <si>
    <t>D013221</t>
  </si>
  <si>
    <t>One Wonderful Sunday</t>
  </si>
  <si>
    <t>D002273</t>
  </si>
  <si>
    <t>Rashomon</t>
  </si>
  <si>
    <t>D013217</t>
  </si>
  <si>
    <t>Paris Nous Appartient</t>
  </si>
  <si>
    <t>F000188</t>
  </si>
  <si>
    <t>Radio On</t>
  </si>
  <si>
    <t>Chris Petit</t>
  </si>
  <si>
    <t>D000184</t>
  </si>
  <si>
    <t>Red Beard</t>
  </si>
  <si>
    <t>D004132</t>
  </si>
  <si>
    <t>Sanjuro</t>
  </si>
  <si>
    <t>D001319</t>
  </si>
  <si>
    <t>Sanshiro Sugata</t>
  </si>
  <si>
    <t>D001332</t>
  </si>
  <si>
    <t>Sanshiro Sugata part two</t>
  </si>
  <si>
    <t>D001324</t>
  </si>
  <si>
    <t>Stray Dog</t>
  </si>
  <si>
    <t>S034657</t>
  </si>
  <si>
    <t>Stroszek</t>
  </si>
  <si>
    <t>D003479</t>
  </si>
  <si>
    <t>Theorem</t>
  </si>
  <si>
    <t>D013260</t>
  </si>
  <si>
    <t>When a Woman Ascends the Stairs</t>
  </si>
  <si>
    <t>D017080</t>
  </si>
  <si>
    <t>The Valley (Obscured by Clouds)</t>
  </si>
  <si>
    <t>D001583</t>
  </si>
  <si>
    <t>Woman of the Dunes</t>
  </si>
  <si>
    <t>Hiroshi Teshigahara</t>
  </si>
  <si>
    <t>S034705</t>
  </si>
  <si>
    <t>Woyzeck</t>
  </si>
  <si>
    <t>D001558</t>
  </si>
  <si>
    <t>Yojimbo</t>
  </si>
  <si>
    <t>D015395</t>
  </si>
  <si>
    <t>Face</t>
  </si>
  <si>
    <t>Antonia Bird</t>
  </si>
  <si>
    <t>D026464</t>
  </si>
  <si>
    <t>Me without You</t>
  </si>
  <si>
    <t>Sandra Goldbacher</t>
  </si>
  <si>
    <t>D016783</t>
  </si>
  <si>
    <t>This Filthy Earth</t>
  </si>
  <si>
    <t>D026466</t>
  </si>
  <si>
    <t>A Syrian Love Story</t>
  </si>
  <si>
    <t>Sean McAllister</t>
  </si>
  <si>
    <t>Lucrecia Martel</t>
  </si>
  <si>
    <t>D026599</t>
  </si>
  <si>
    <t>Looking for Love</t>
  </si>
  <si>
    <t>D011794</t>
  </si>
  <si>
    <t>The Leather Boys</t>
  </si>
  <si>
    <t>Sidney J. Furie</t>
  </si>
  <si>
    <t>Mexico</t>
  </si>
  <si>
    <t>Republic of Korea</t>
  </si>
  <si>
    <t>Matteo Garrone</t>
  </si>
  <si>
    <t>D011441</t>
  </si>
  <si>
    <t>Eyes without a Face</t>
  </si>
  <si>
    <t>Georges Franju</t>
  </si>
  <si>
    <t>D026719</t>
  </si>
  <si>
    <t>Dressed as a Girl</t>
  </si>
  <si>
    <t>Colin Rothbart</t>
  </si>
  <si>
    <t>D002815</t>
  </si>
  <si>
    <t>Germany, Year Zero</t>
  </si>
  <si>
    <t>D002177</t>
  </si>
  <si>
    <t>Stromboli, Land of God</t>
  </si>
  <si>
    <t>D002431</t>
  </si>
  <si>
    <t>Rome, Open City</t>
  </si>
  <si>
    <t>D002814</t>
  </si>
  <si>
    <t>Paisà</t>
  </si>
  <si>
    <t>D004162</t>
  </si>
  <si>
    <t>Ordet.</t>
  </si>
  <si>
    <t>D002230</t>
  </si>
  <si>
    <t>Shadows</t>
  </si>
  <si>
    <t>D018805</t>
  </si>
  <si>
    <t>Successive Slidings of Pleasure</t>
  </si>
  <si>
    <t>D026772</t>
  </si>
  <si>
    <t>Chemsex</t>
  </si>
  <si>
    <t>Max Gogarty</t>
  </si>
  <si>
    <t>William Fairman</t>
  </si>
  <si>
    <t>Iran</t>
  </si>
  <si>
    <t>D026769</t>
  </si>
  <si>
    <t>My Nazi Legacy</t>
  </si>
  <si>
    <t>David Evans</t>
  </si>
  <si>
    <t>Jean-Luc Godard</t>
  </si>
  <si>
    <t>D031045</t>
  </si>
  <si>
    <t>South: Sir Ernest Shackleton's Glorious Epic of the Antarctic</t>
  </si>
  <si>
    <t>Frank Hurley</t>
  </si>
  <si>
    <t>F000228</t>
  </si>
  <si>
    <t>Distant Voices, Still Lives</t>
  </si>
  <si>
    <t>D013682</t>
  </si>
  <si>
    <t>Finisterre</t>
  </si>
  <si>
    <t>Paul Kelly</t>
  </si>
  <si>
    <t>D018747</t>
  </si>
  <si>
    <t>This Is Tomorrow</t>
  </si>
  <si>
    <t>D014355</t>
  </si>
  <si>
    <t>What Have You Done Today Mervyn Day?</t>
  </si>
  <si>
    <t>D027478</t>
  </si>
  <si>
    <t>Evolution</t>
  </si>
  <si>
    <t>Lucile Hadzihalilovic</t>
  </si>
  <si>
    <t>D027505</t>
  </si>
  <si>
    <t>Cemetery of Splendour</t>
  </si>
  <si>
    <t xml:space="preserve">D027535 </t>
  </si>
  <si>
    <t>Eisenstein in Guanajuato</t>
  </si>
  <si>
    <t>D013606</t>
  </si>
  <si>
    <t>Bullet Boy</t>
  </si>
  <si>
    <t>Saul Dibb</t>
  </si>
  <si>
    <t>D027847</t>
  </si>
  <si>
    <t>Girls Lost</t>
  </si>
  <si>
    <t>Alexandra-Therese Keining</t>
  </si>
  <si>
    <t>D018803</t>
  </si>
  <si>
    <t>Eden and After</t>
  </si>
  <si>
    <t>Jean Rollin</t>
  </si>
  <si>
    <t>D027991</t>
  </si>
  <si>
    <t>Requiem for a Vampire</t>
  </si>
  <si>
    <t>D027992</t>
  </si>
  <si>
    <t>Shiver of the Vampires</t>
  </si>
  <si>
    <t>D027996</t>
  </si>
  <si>
    <t>Night of the Hunted</t>
  </si>
  <si>
    <t>D027994</t>
  </si>
  <si>
    <t>The Nude Vampire</t>
  </si>
  <si>
    <t>D027998</t>
  </si>
  <si>
    <t>Visions of Ecstasy</t>
  </si>
  <si>
    <t>Nigel Wingrove</t>
  </si>
  <si>
    <t>D030127</t>
  </si>
  <si>
    <t>Fascination</t>
  </si>
  <si>
    <t>D028095</t>
  </si>
  <si>
    <t>Love &amp; Friendship</t>
  </si>
  <si>
    <t>Ireland</t>
  </si>
  <si>
    <t>Whit Stillman</t>
  </si>
  <si>
    <t>D028452</t>
  </si>
  <si>
    <t>Only God Forgives</t>
  </si>
  <si>
    <t>Nicolas Winding Refn</t>
  </si>
  <si>
    <t>S031924</t>
  </si>
  <si>
    <t>Rabid</t>
  </si>
  <si>
    <t>D028238</t>
  </si>
  <si>
    <t>Théo and Hugo</t>
  </si>
  <si>
    <t>Jacques Martineau</t>
  </si>
  <si>
    <t>Olivier Ducastel</t>
  </si>
  <si>
    <t>S038792</t>
  </si>
  <si>
    <t>Love and Death on Long Island</t>
  </si>
  <si>
    <t>D028557</t>
  </si>
  <si>
    <t>My Voyage to Italy (part one)</t>
  </si>
  <si>
    <t>Rainer Werner Fassbinder</t>
  </si>
  <si>
    <t>D001138</t>
  </si>
  <si>
    <t>Fear Eats the Soul</t>
  </si>
  <si>
    <t>D003405</t>
  </si>
  <si>
    <t>The Marriage of Maria Braun</t>
  </si>
  <si>
    <t>D001137</t>
  </si>
  <si>
    <t xml:space="preserve">The Bitter Tears of Petra von Kant </t>
  </si>
  <si>
    <t>D028646</t>
  </si>
  <si>
    <t>The Levelling</t>
  </si>
  <si>
    <t>Hope Dickson Leach</t>
  </si>
  <si>
    <t>D028785</t>
  </si>
  <si>
    <t>Prevenge</t>
  </si>
  <si>
    <t>Alice Lowe</t>
  </si>
  <si>
    <t>D001767</t>
  </si>
  <si>
    <t>Daughters of the Dust</t>
  </si>
  <si>
    <t>Julie Dash</t>
  </si>
  <si>
    <t>S034489</t>
  </si>
  <si>
    <t>Heart of Glass</t>
  </si>
  <si>
    <t>D028874</t>
  </si>
  <si>
    <t>Tom of Finland</t>
  </si>
  <si>
    <t>Finland</t>
  </si>
  <si>
    <t>Dome Karukoski</t>
  </si>
  <si>
    <t>D028925</t>
  </si>
  <si>
    <t>The Ghoul</t>
  </si>
  <si>
    <t>Gareth Tunley</t>
  </si>
  <si>
    <t>D028929</t>
  </si>
  <si>
    <t>The Untamed</t>
  </si>
  <si>
    <t>Amat Escalante</t>
  </si>
  <si>
    <t>D028782</t>
  </si>
  <si>
    <t>The Handmaiden</t>
  </si>
  <si>
    <t>Park Chan-wook</t>
  </si>
  <si>
    <t>D028938</t>
  </si>
  <si>
    <t>Daphne</t>
  </si>
  <si>
    <t>Peter Mackie Burns</t>
  </si>
  <si>
    <t>D013317</t>
  </si>
  <si>
    <t>Audition</t>
  </si>
  <si>
    <t>Takashi Miike</t>
  </si>
  <si>
    <t>D028948</t>
  </si>
  <si>
    <t>Crimes of Passion</t>
  </si>
  <si>
    <t>Ken Russell</t>
  </si>
  <si>
    <t>D028949</t>
  </si>
  <si>
    <t>King of New York</t>
  </si>
  <si>
    <t>Abel Ferrara</t>
  </si>
  <si>
    <t>S034634</t>
  </si>
  <si>
    <t>The Saragossa Manuscript</t>
  </si>
  <si>
    <t>Poland</t>
  </si>
  <si>
    <t>Wojciech Jerzy Has</t>
  </si>
  <si>
    <t>D029030</t>
  </si>
  <si>
    <t>Beach Rats</t>
  </si>
  <si>
    <t>Eliza Hittman</t>
  </si>
  <si>
    <t>D029077</t>
  </si>
  <si>
    <t>I Am Not a Witch</t>
  </si>
  <si>
    <t>Rungano Nyoni</t>
  </si>
  <si>
    <t>My Voyage to Italy (part two)</t>
  </si>
  <si>
    <t>D001279</t>
  </si>
  <si>
    <t>Alice in the Cities</t>
  </si>
  <si>
    <t>Wim Wenders</t>
  </si>
  <si>
    <t>D014201</t>
  </si>
  <si>
    <t>Late Autumn</t>
  </si>
  <si>
    <t>S035034</t>
  </si>
  <si>
    <t>Good Morning</t>
  </si>
  <si>
    <t>D014519</t>
  </si>
  <si>
    <t>Early Summer</t>
  </si>
  <si>
    <t>S035022</t>
  </si>
  <si>
    <t>An Autumn Afternoon</t>
  </si>
  <si>
    <t>D002093</t>
  </si>
  <si>
    <t>I Was Born, But...</t>
  </si>
  <si>
    <t>D017173</t>
  </si>
  <si>
    <t>Equinox Flower</t>
  </si>
  <si>
    <t>D017171</t>
  </si>
  <si>
    <t>A Hen in the Wind</t>
  </si>
  <si>
    <t>D017161</t>
  </si>
  <si>
    <t>Woman of Tokyo</t>
  </si>
  <si>
    <t>D002058</t>
  </si>
  <si>
    <t>Early Spring</t>
  </si>
  <si>
    <t>D017162</t>
  </si>
  <si>
    <t>Dragnet Girl</t>
  </si>
  <si>
    <t>D017157</t>
  </si>
  <si>
    <t>I Flunked, But…</t>
  </si>
  <si>
    <t>S032707</t>
  </si>
  <si>
    <t>Paris, Texas</t>
  </si>
  <si>
    <t>D001333</t>
  </si>
  <si>
    <t>Kwaidan</t>
  </si>
  <si>
    <t>Masaki Kobayashi</t>
  </si>
  <si>
    <t>D001342</t>
  </si>
  <si>
    <t>Onibaba</t>
  </si>
  <si>
    <t>Kaneto Shindo</t>
  </si>
  <si>
    <t>D001280</t>
  </si>
  <si>
    <t>Kings of the Road</t>
  </si>
  <si>
    <t>D001281</t>
  </si>
  <si>
    <t>The American Friend</t>
  </si>
  <si>
    <t>D002274</t>
  </si>
  <si>
    <t>Rocco and His Brothers</t>
  </si>
  <si>
    <t>Luchino Visconti</t>
  </si>
  <si>
    <t>S032751</t>
  </si>
  <si>
    <t>Wings of Desire</t>
  </si>
  <si>
    <t>S038842</t>
  </si>
  <si>
    <t>Buena Vista Social Club</t>
  </si>
  <si>
    <t>D029219</t>
  </si>
  <si>
    <t>Vampyr</t>
  </si>
  <si>
    <t>D029229</t>
  </si>
  <si>
    <t>Frozen River</t>
  </si>
  <si>
    <t>Courtney Hunt</t>
  </si>
  <si>
    <t>musical</t>
  </si>
  <si>
    <t>D029232</t>
  </si>
  <si>
    <t>In a Better World</t>
  </si>
  <si>
    <t>Susanne Bier</t>
  </si>
  <si>
    <t>D029235</t>
  </si>
  <si>
    <t>Spanking the Monkey</t>
  </si>
  <si>
    <t>David O. Russell</t>
  </si>
  <si>
    <t>D029237</t>
  </si>
  <si>
    <t>The Housemaid</t>
  </si>
  <si>
    <t>Im Sang-soo</t>
  </si>
  <si>
    <t>D029236</t>
  </si>
  <si>
    <t>Dark Horse</t>
  </si>
  <si>
    <t>Todd Solondz</t>
  </si>
  <si>
    <t>D029234</t>
  </si>
  <si>
    <t>Mystery Road</t>
  </si>
  <si>
    <t>Ivan Sen</t>
  </si>
  <si>
    <t>S038538</t>
  </si>
  <si>
    <t>Shoah (First Era)</t>
  </si>
  <si>
    <t>Claude Lanzmann</t>
  </si>
  <si>
    <t>Shoah (Second Era)</t>
  </si>
  <si>
    <t>Marco Ferreri</t>
  </si>
  <si>
    <t>D029279</t>
  </si>
  <si>
    <t>Heaven Knows What</t>
  </si>
  <si>
    <t>Benny Safdie</t>
  </si>
  <si>
    <t>Joshua Safdie</t>
  </si>
  <si>
    <t>D029280</t>
  </si>
  <si>
    <t>Goldstone</t>
  </si>
  <si>
    <t>D029394</t>
  </si>
  <si>
    <t>Western</t>
  </si>
  <si>
    <t>Valeska Grisebach</t>
  </si>
  <si>
    <t>D029392</t>
  </si>
  <si>
    <t>Zama</t>
  </si>
  <si>
    <t>D029374</t>
  </si>
  <si>
    <t>The Wound</t>
  </si>
  <si>
    <t>South Africa</t>
  </si>
  <si>
    <t>John Trengove</t>
  </si>
  <si>
    <t>D003317</t>
  </si>
  <si>
    <t>Autumn Sonata</t>
  </si>
  <si>
    <t xml:space="preserve">D013370 </t>
  </si>
  <si>
    <t>The Magician</t>
  </si>
  <si>
    <t>S034949</t>
  </si>
  <si>
    <t>Fanny and Alexander</t>
  </si>
  <si>
    <t>D001273</t>
  </si>
  <si>
    <t>The Silence</t>
  </si>
  <si>
    <t>D001265</t>
  </si>
  <si>
    <t>The Seventh Seal</t>
  </si>
  <si>
    <t>D001266</t>
  </si>
  <si>
    <t>Smiles of a Summer Night</t>
  </si>
  <si>
    <t>D001271</t>
  </si>
  <si>
    <t>Through a Glass Darkly</t>
  </si>
  <si>
    <t>D001267</t>
  </si>
  <si>
    <t>Wild Strawberries</t>
  </si>
  <si>
    <t xml:space="preserve">D001272 </t>
  </si>
  <si>
    <t>Winter Light</t>
  </si>
  <si>
    <t>D029426</t>
  </si>
  <si>
    <t>The Ninth Configuration</t>
  </si>
  <si>
    <t>William Peter Blatty</t>
  </si>
  <si>
    <t>D029419</t>
  </si>
  <si>
    <t>Beast</t>
  </si>
  <si>
    <t>Michael Pearce</t>
  </si>
  <si>
    <t>D002923</t>
  </si>
  <si>
    <t>The Colour of Pomegranates</t>
  </si>
  <si>
    <t>Sergei Paradjanov</t>
  </si>
  <si>
    <t>D029440</t>
  </si>
  <si>
    <t>Pulse</t>
  </si>
  <si>
    <t>Kiyoshi Kurosawa</t>
  </si>
  <si>
    <t>Hideo Nakata</t>
  </si>
  <si>
    <t>S034928</t>
  </si>
  <si>
    <t>The Aviator's Wife</t>
  </si>
  <si>
    <t>Eric Rohmer</t>
  </si>
  <si>
    <t>S034980</t>
  </si>
  <si>
    <t>My Girlfriend's Boyfriend</t>
  </si>
  <si>
    <t>S034955</t>
  </si>
  <si>
    <t>Full Moon in Paris</t>
  </si>
  <si>
    <t>S038182</t>
  </si>
  <si>
    <t>A Good Marriage</t>
  </si>
  <si>
    <t>S038243</t>
  </si>
  <si>
    <t>Pauline at the Beach</t>
  </si>
  <si>
    <t>S034958</t>
  </si>
  <si>
    <t>The Green Ray</t>
  </si>
  <si>
    <t>S034954</t>
  </si>
  <si>
    <t>Four Adventures of Reinette and Mirabelle</t>
  </si>
  <si>
    <t>D019511</t>
  </si>
  <si>
    <t>Irma Vep</t>
  </si>
  <si>
    <t>Olivier Assayas</t>
  </si>
  <si>
    <t>D029452</t>
  </si>
  <si>
    <t>Postcards from London</t>
  </si>
  <si>
    <t>Steve McLean</t>
  </si>
  <si>
    <t>D029450</t>
  </si>
  <si>
    <t>A Moment in the Reeds</t>
  </si>
  <si>
    <t>Mikko Makela</t>
  </si>
  <si>
    <t>Czechoslovakia</t>
  </si>
  <si>
    <t>D029460</t>
  </si>
  <si>
    <t>My 20th Century</t>
  </si>
  <si>
    <t>Hungary</t>
  </si>
  <si>
    <t>Ildikó Enyedi</t>
  </si>
  <si>
    <t>D029463</t>
  </si>
  <si>
    <t>Fruit of Paradise</t>
  </si>
  <si>
    <t>Věra Chytilová</t>
  </si>
  <si>
    <t>S034431</t>
  </si>
  <si>
    <t>Daisies</t>
  </si>
  <si>
    <t>S034425</t>
  </si>
  <si>
    <t>The Cremator</t>
  </si>
  <si>
    <t>Juraj Herz</t>
  </si>
  <si>
    <t>D029464</t>
  </si>
  <si>
    <t>Something Different</t>
  </si>
  <si>
    <t>D029465</t>
  </si>
  <si>
    <t>A Bagful of Fleas</t>
  </si>
  <si>
    <t>D029466</t>
  </si>
  <si>
    <t>Traps</t>
  </si>
  <si>
    <t>Czech Republic</t>
  </si>
  <si>
    <t>Shinya Tsukamoto</t>
  </si>
  <si>
    <t>D029483</t>
  </si>
  <si>
    <t>The Artist and the Model</t>
  </si>
  <si>
    <t>Fernando Trueba</t>
  </si>
  <si>
    <t>D029485</t>
  </si>
  <si>
    <t>The Kreutzer Sonata</t>
  </si>
  <si>
    <t>Bernard Rose</t>
  </si>
  <si>
    <t>D029476</t>
  </si>
  <si>
    <t>The Wayward Cloud</t>
  </si>
  <si>
    <t>Tsai Ming-liang</t>
  </si>
  <si>
    <t>D029482</t>
  </si>
  <si>
    <t>Bridgend</t>
  </si>
  <si>
    <t>Jeppe Ronde</t>
  </si>
  <si>
    <t>F000460</t>
  </si>
  <si>
    <t>Under the Skin</t>
  </si>
  <si>
    <t>Carine Adler</t>
  </si>
  <si>
    <t>D029474</t>
  </si>
  <si>
    <t>The Miseducation of Cameron Post</t>
  </si>
  <si>
    <t>Josef von Sternberg</t>
  </si>
  <si>
    <t>D029510</t>
  </si>
  <si>
    <t>Listen Up Philip</t>
  </si>
  <si>
    <t>Alex Ross Perry</t>
  </si>
  <si>
    <t>D029512</t>
  </si>
  <si>
    <t>The General</t>
  </si>
  <si>
    <t>Buster Keaton</t>
  </si>
  <si>
    <t>Clyde Bruckman</t>
  </si>
  <si>
    <t>D003533</t>
  </si>
  <si>
    <t>La notte</t>
  </si>
  <si>
    <t>Michelangelo Antonioni</t>
  </si>
  <si>
    <t>D029513</t>
  </si>
  <si>
    <t>Steamboat Bill, Jr.</t>
  </si>
  <si>
    <t>Charles F. Riesner</t>
  </si>
  <si>
    <t>D012534</t>
  </si>
  <si>
    <t>Sherlock Jr.</t>
  </si>
  <si>
    <t>D029505</t>
  </si>
  <si>
    <t>Summer 1993</t>
  </si>
  <si>
    <t>Carla Simón</t>
  </si>
  <si>
    <t>Takeshi Kitano</t>
  </si>
  <si>
    <t>D001986</t>
  </si>
  <si>
    <t>Yesterday, Today and Tomorrow</t>
  </si>
  <si>
    <t>D029523</t>
  </si>
  <si>
    <t>Marriage Italian Style</t>
  </si>
  <si>
    <t>D029524</t>
  </si>
  <si>
    <t>Boccaccio '70</t>
  </si>
  <si>
    <t>D029526</t>
  </si>
  <si>
    <t>A Special Day</t>
  </si>
  <si>
    <t>Ettore Scola</t>
  </si>
  <si>
    <t>Sergio Corbucci</t>
  </si>
  <si>
    <t>D029529</t>
  </si>
  <si>
    <t>Viva</t>
  </si>
  <si>
    <t>Anna Biller</t>
  </si>
  <si>
    <t>D001949</t>
  </si>
  <si>
    <t>The Frightened Woman</t>
  </si>
  <si>
    <t>Piero Schivazappa</t>
  </si>
  <si>
    <t>D029579</t>
  </si>
  <si>
    <t>Tides</t>
  </si>
  <si>
    <t>Tupaq Felber</t>
  </si>
  <si>
    <t>D029591</t>
  </si>
  <si>
    <t>The Wild Pear Tree</t>
  </si>
  <si>
    <t>Sergei Loznitsa</t>
  </si>
  <si>
    <t>D011103</t>
  </si>
  <si>
    <t>L'avventura</t>
  </si>
  <si>
    <t>D029684</t>
  </si>
  <si>
    <t>Being Frank: The Chris Sievey Story</t>
  </si>
  <si>
    <t>Steve Sullivan</t>
  </si>
  <si>
    <t>D029422</t>
  </si>
  <si>
    <t>Maborosi</t>
  </si>
  <si>
    <t>Hirokazu Koreeda</t>
  </si>
  <si>
    <t>D014045</t>
  </si>
  <si>
    <t>After Life</t>
  </si>
  <si>
    <t>D029424</t>
  </si>
  <si>
    <t>Still Walking</t>
  </si>
  <si>
    <t>D029423</t>
  </si>
  <si>
    <t>Nobody Knows</t>
  </si>
  <si>
    <t>Portugal</t>
  </si>
  <si>
    <t>D029731</t>
  </si>
  <si>
    <t>Through a Boy's Eyes</t>
  </si>
  <si>
    <t>Alexander Lemus Gadea</t>
  </si>
  <si>
    <t>Claudine Natkin</t>
  </si>
  <si>
    <t>D013432</t>
  </si>
  <si>
    <t>The Garden</t>
  </si>
  <si>
    <t>D029212</t>
  </si>
  <si>
    <t>Mifune : The Last Samurai</t>
  </si>
  <si>
    <t>Steven Okazaki</t>
  </si>
  <si>
    <t>D029781</t>
  </si>
  <si>
    <t>Vita &amp; Virginia</t>
  </si>
  <si>
    <t>Chanya Button</t>
  </si>
  <si>
    <t>D029801</t>
  </si>
  <si>
    <t>Sweet Bean</t>
  </si>
  <si>
    <t>Naomi Kawase</t>
  </si>
  <si>
    <t>D029775</t>
  </si>
  <si>
    <t>Gholam</t>
  </si>
  <si>
    <t>Mitra Tabrizian</t>
  </si>
  <si>
    <t>D029808</t>
  </si>
  <si>
    <t>Donbass</t>
  </si>
  <si>
    <t>D002021</t>
  </si>
  <si>
    <t>The Cabinet of Dr. Caligari</t>
  </si>
  <si>
    <t>Robert Wiene</t>
  </si>
  <si>
    <t>S035156</t>
  </si>
  <si>
    <t>La Chinoise</t>
  </si>
  <si>
    <t>Romania</t>
  </si>
  <si>
    <t>D013953</t>
  </si>
  <si>
    <t>Lady Vengeance</t>
  </si>
  <si>
    <t>D013913</t>
  </si>
  <si>
    <t>The Proposition</t>
  </si>
  <si>
    <t>John Hillcoat</t>
  </si>
  <si>
    <t>D028569</t>
  </si>
  <si>
    <t>Malcolm X</t>
  </si>
  <si>
    <t>Spike Lee</t>
  </si>
  <si>
    <t>D029964</t>
  </si>
  <si>
    <t>Old Boys</t>
  </si>
  <si>
    <t>Toby MacDonald</t>
  </si>
  <si>
    <t>D029865</t>
  </si>
  <si>
    <t>Diamantino</t>
  </si>
  <si>
    <t>Daniel Schmidt</t>
  </si>
  <si>
    <t>Gabriel Abrantes</t>
  </si>
  <si>
    <t>Russian Federation</t>
  </si>
  <si>
    <t>D001042</t>
  </si>
  <si>
    <t>The Blue Angel</t>
  </si>
  <si>
    <t>S033461</t>
  </si>
  <si>
    <t>Society</t>
  </si>
  <si>
    <t>Brian Yuzna</t>
  </si>
  <si>
    <t>D029857</t>
  </si>
  <si>
    <t>Rafiki</t>
  </si>
  <si>
    <t>Wanuri Kahiu</t>
  </si>
  <si>
    <t>D029947</t>
  </si>
  <si>
    <t>Consequences</t>
  </si>
  <si>
    <t>Slovenia</t>
  </si>
  <si>
    <t>Darko Štante</t>
  </si>
  <si>
    <t>D029967</t>
  </si>
  <si>
    <t>Ray &amp; Liz</t>
  </si>
  <si>
    <t>Richard Billingham</t>
  </si>
  <si>
    <t>D029990</t>
  </si>
  <si>
    <t>The Third Wife</t>
  </si>
  <si>
    <t>Socialist Republic of Vietnam</t>
  </si>
  <si>
    <t>Ash Mayfair</t>
  </si>
  <si>
    <t>D029908</t>
  </si>
  <si>
    <t>Varda by Agnès</t>
  </si>
  <si>
    <t>Agnès Varda</t>
  </si>
  <si>
    <t>D029992</t>
  </si>
  <si>
    <t>The Chambermaid</t>
  </si>
  <si>
    <t>Lila Avilés</t>
  </si>
  <si>
    <t>D030035</t>
  </si>
  <si>
    <t>The Souvenir</t>
  </si>
  <si>
    <t>D030077</t>
  </si>
  <si>
    <t>Stud Life</t>
  </si>
  <si>
    <t>Campbell X</t>
  </si>
  <si>
    <t>holiday</t>
  </si>
  <si>
    <t>D030241</t>
  </si>
  <si>
    <t>House [Hausu]</t>
  </si>
  <si>
    <t>Nobuhiko Obayashi</t>
  </si>
  <si>
    <t>D030712</t>
  </si>
  <si>
    <t>That Cold Day in the Park</t>
  </si>
  <si>
    <t>Robert Altman</t>
  </si>
  <si>
    <t>S034530</t>
  </si>
  <si>
    <t>Kuroneko</t>
  </si>
  <si>
    <t>D030039</t>
  </si>
  <si>
    <t>Holiday</t>
  </si>
  <si>
    <t>Isabella Eklöf</t>
  </si>
  <si>
    <t>D030091</t>
  </si>
  <si>
    <t>Ghost World</t>
  </si>
  <si>
    <t>Terry Zwigoff</t>
  </si>
  <si>
    <t>D001106</t>
  </si>
  <si>
    <t>Black Orpheus</t>
  </si>
  <si>
    <t>Marcel Camus</t>
  </si>
  <si>
    <t>D030094</t>
  </si>
  <si>
    <t>Rare Exports: A Christmas Tale</t>
  </si>
  <si>
    <t>Jalmari Helander</t>
  </si>
  <si>
    <t>D017480</t>
  </si>
  <si>
    <t>Walkabout</t>
  </si>
  <si>
    <t>Nicolas Roeg</t>
  </si>
  <si>
    <t>D030096</t>
  </si>
  <si>
    <t>The Harder They Come</t>
  </si>
  <si>
    <t>Jamaica</t>
  </si>
  <si>
    <t>Perry Henzell</t>
  </si>
  <si>
    <t>D031328</t>
  </si>
  <si>
    <t>Ganja &amp; Hess</t>
  </si>
  <si>
    <t>Bill Gunn</t>
  </si>
  <si>
    <t>D030042</t>
  </si>
  <si>
    <t>Support the Girls</t>
  </si>
  <si>
    <t>Andrew Bujalski</t>
  </si>
  <si>
    <t>D030190</t>
  </si>
  <si>
    <t>Aniara</t>
  </si>
  <si>
    <t>Hugo Lilja</t>
  </si>
  <si>
    <t>Pella Kågerman</t>
  </si>
  <si>
    <t>D013321</t>
  </si>
  <si>
    <t>Battle Royale</t>
  </si>
  <si>
    <t>Kenji Fukasaku</t>
  </si>
  <si>
    <t>D030277</t>
  </si>
  <si>
    <t>Ring [Ringu]</t>
  </si>
  <si>
    <t>D013393</t>
  </si>
  <si>
    <t>A Snake of June</t>
  </si>
  <si>
    <t>D029956</t>
  </si>
  <si>
    <t>Bait</t>
  </si>
  <si>
    <t>Mark Jenkin</t>
  </si>
  <si>
    <t>D030178</t>
  </si>
  <si>
    <t>Talking about Trees</t>
  </si>
  <si>
    <t>Suhaib Gasmelbari</t>
  </si>
  <si>
    <t>D030180</t>
  </si>
  <si>
    <t>End of the Century</t>
  </si>
  <si>
    <t>Lucio Castro</t>
  </si>
  <si>
    <t>S036871</t>
  </si>
  <si>
    <t>Picnic at Hanging Rock</t>
  </si>
  <si>
    <t>Peter Weir</t>
  </si>
  <si>
    <t>D003316</t>
  </si>
  <si>
    <t>Assault on Precinct 13</t>
  </si>
  <si>
    <t>John Carpenter</t>
  </si>
  <si>
    <t>D030196</t>
  </si>
  <si>
    <t>Romance</t>
  </si>
  <si>
    <t>Catherine Breillat</t>
  </si>
  <si>
    <t>D030249</t>
  </si>
  <si>
    <t>Run</t>
  </si>
  <si>
    <t>Scott Graham</t>
  </si>
  <si>
    <t>D030005</t>
  </si>
  <si>
    <t>Little Joe</t>
  </si>
  <si>
    <t>Austria</t>
  </si>
  <si>
    <t>Jessica Hausner</t>
  </si>
  <si>
    <t>D017160</t>
  </si>
  <si>
    <t>Where Now Are the Dreams of Youth?</t>
  </si>
  <si>
    <t>D030066</t>
  </si>
  <si>
    <t>Boiling Point</t>
  </si>
  <si>
    <t>D030065</t>
  </si>
  <si>
    <t>Violent Cop</t>
  </si>
  <si>
    <t>S038471</t>
  </si>
  <si>
    <t>Sonatine</t>
  </si>
  <si>
    <t>D030317</t>
  </si>
  <si>
    <t>A Lonely Cow Weeps at Dawn</t>
  </si>
  <si>
    <t>Daisuke Gotô</t>
  </si>
  <si>
    <t>D030271</t>
  </si>
  <si>
    <t>Orgies of Edo</t>
  </si>
  <si>
    <t>Teruo Ishii</t>
  </si>
  <si>
    <t>D030305</t>
  </si>
  <si>
    <t>Last and First Men</t>
  </si>
  <si>
    <t>Iceland</t>
  </si>
  <si>
    <t>Jóhann Jóhannsson</t>
  </si>
  <si>
    <t>D030258</t>
  </si>
  <si>
    <t>Buñuel in the Labyrinth of the Turtles</t>
  </si>
  <si>
    <t>Salvador Simó</t>
  </si>
  <si>
    <t xml:space="preserve">D030291	</t>
  </si>
  <si>
    <t>Lynn + Lucy</t>
  </si>
  <si>
    <t>Fyzal Boulifa</t>
  </si>
  <si>
    <t>D030319</t>
  </si>
  <si>
    <t>Family Romance, LLC.</t>
  </si>
  <si>
    <t>D030351</t>
  </si>
  <si>
    <t>Enough to Fill Up an Eggcup</t>
  </si>
  <si>
    <t>D030350</t>
  </si>
  <si>
    <t>David Bowie Is Dead</t>
  </si>
  <si>
    <t>D030349</t>
  </si>
  <si>
    <t>Bronco's House</t>
  </si>
  <si>
    <t>D030352</t>
  </si>
  <si>
    <t>Hard, Cracked the Wind</t>
  </si>
  <si>
    <t>D030376</t>
  </si>
  <si>
    <t>The Painted Bird</t>
  </si>
  <si>
    <t>Vaclav Marhoul</t>
  </si>
  <si>
    <t>D030366</t>
  </si>
  <si>
    <t>Real</t>
  </si>
  <si>
    <t>Aki Omoshaybi</t>
  </si>
  <si>
    <t>D030374</t>
  </si>
  <si>
    <t>Ava</t>
  </si>
  <si>
    <t>Sadaf Foroughi</t>
  </si>
  <si>
    <t>D030654</t>
  </si>
  <si>
    <t>I Am Samuel</t>
  </si>
  <si>
    <t>Kenya</t>
  </si>
  <si>
    <t>Pete Murimi</t>
  </si>
  <si>
    <t>D030549</t>
  </si>
  <si>
    <t>A Common Crime [Un crimen común]</t>
  </si>
  <si>
    <t>Francisco Márquez</t>
  </si>
  <si>
    <t>D030373</t>
  </si>
  <si>
    <t>After Love</t>
  </si>
  <si>
    <t>Aleem Khan</t>
  </si>
  <si>
    <t>D030550</t>
  </si>
  <si>
    <t>Identifying Features [Sin señas particulares]</t>
  </si>
  <si>
    <t>Fernanda Valadez</t>
  </si>
  <si>
    <t>D030422</t>
  </si>
  <si>
    <t>Good Vibrations</t>
  </si>
  <si>
    <t>Glenn Leyburn</t>
  </si>
  <si>
    <t>Lisa Barros D'Sa</t>
  </si>
  <si>
    <t>D030421</t>
  </si>
  <si>
    <t>Personal Shopper</t>
  </si>
  <si>
    <t>S038660</t>
  </si>
  <si>
    <t>La Haine</t>
  </si>
  <si>
    <t>Mathieu Kassovitz</t>
  </si>
  <si>
    <t>D030420</t>
  </si>
  <si>
    <t>A Most Violent Year</t>
  </si>
  <si>
    <t>J.C. Chandor</t>
  </si>
  <si>
    <t>D030457</t>
  </si>
  <si>
    <t>Luxor</t>
  </si>
  <si>
    <t>Egypt</t>
  </si>
  <si>
    <t>Zeina Durra</t>
  </si>
  <si>
    <t>D030458</t>
  </si>
  <si>
    <t>Falling</t>
  </si>
  <si>
    <t>Viggo Mortensen</t>
  </si>
  <si>
    <t>D030164</t>
  </si>
  <si>
    <t>County Lines</t>
  </si>
  <si>
    <t>Henry Blake</t>
  </si>
  <si>
    <t>D030488</t>
  </si>
  <si>
    <t>Patrick</t>
  </si>
  <si>
    <t>Tim Mielants</t>
  </si>
  <si>
    <t>D026150</t>
  </si>
  <si>
    <t>Force Majeure</t>
  </si>
  <si>
    <t>Ruben Östlund</t>
  </si>
  <si>
    <t>D013861</t>
  </si>
  <si>
    <t>Hidden</t>
  </si>
  <si>
    <t>D018057</t>
  </si>
  <si>
    <t>Archipelago</t>
  </si>
  <si>
    <t>D017094</t>
  </si>
  <si>
    <t>Cléo from 5 to 7</t>
  </si>
  <si>
    <t>S031041</t>
  </si>
  <si>
    <t>Querelle</t>
  </si>
  <si>
    <t>S030246</t>
  </si>
  <si>
    <t>Au revoir les enfants</t>
  </si>
  <si>
    <t>Louis Malle</t>
  </si>
  <si>
    <t>D026153</t>
  </si>
  <si>
    <t>Timbuktu</t>
  </si>
  <si>
    <t>Abderrahmane Sissako</t>
  </si>
  <si>
    <t>D002269</t>
  </si>
  <si>
    <t>Lift to the Scaffold</t>
  </si>
  <si>
    <t>D030532</t>
  </si>
  <si>
    <t>White Colour Black</t>
  </si>
  <si>
    <t>Joseph A. Adesunloye</t>
  </si>
  <si>
    <t>D030538</t>
  </si>
  <si>
    <t>Demonlover</t>
  </si>
  <si>
    <t>D031297</t>
  </si>
  <si>
    <t>Firebird</t>
  </si>
  <si>
    <t>Peeter Rebane</t>
  </si>
  <si>
    <t>D003789</t>
  </si>
  <si>
    <t>The Texas Chain Saw Massacre</t>
  </si>
  <si>
    <t>Tobe Hooper</t>
  </si>
  <si>
    <t>S031065</t>
  </si>
  <si>
    <t>The Emperor's Naked Army Marches On</t>
  </si>
  <si>
    <t>Kazuo Hara</t>
  </si>
  <si>
    <t>D030709</t>
  </si>
  <si>
    <t>Charlatan</t>
  </si>
  <si>
    <t>Agnieszka Holland</t>
  </si>
  <si>
    <t>Márta Mészáros</t>
  </si>
  <si>
    <t>D024802</t>
  </si>
  <si>
    <t>Enemy</t>
  </si>
  <si>
    <t>Denis Villeneuve</t>
  </si>
  <si>
    <t>D030726</t>
  </si>
  <si>
    <t>Pusher</t>
  </si>
  <si>
    <t>D030728</t>
  </si>
  <si>
    <t>Pusher III</t>
  </si>
  <si>
    <t>D030727</t>
  </si>
  <si>
    <t>Pusher II</t>
  </si>
  <si>
    <t>D018171</t>
  </si>
  <si>
    <t>Meek's Cutoff</t>
  </si>
  <si>
    <t>Kelly Reichardt</t>
  </si>
  <si>
    <t>D017644</t>
  </si>
  <si>
    <t>Home from the Hill</t>
  </si>
  <si>
    <t>D017645</t>
  </si>
  <si>
    <t>My African Farm</t>
  </si>
  <si>
    <t>D017646</t>
  </si>
  <si>
    <t>In the Company of Men: Commander</t>
  </si>
  <si>
    <t>In the Company of Men: The Novice</t>
  </si>
  <si>
    <t>In the Company of Men: The Brotherhood</t>
  </si>
  <si>
    <t>D015314</t>
  </si>
  <si>
    <t>The Ark: The Political Animal</t>
  </si>
  <si>
    <t>The Ark: Tooth and Claw</t>
  </si>
  <si>
    <t>The Ark: Survival of the Fittest</t>
  </si>
  <si>
    <t>The Ark: Natural Selection</t>
  </si>
  <si>
    <t>D017647</t>
  </si>
  <si>
    <t>Geri</t>
  </si>
  <si>
    <t>D017648</t>
  </si>
  <si>
    <t>The Lords' Tale</t>
  </si>
  <si>
    <t>D017649</t>
  </si>
  <si>
    <t>The Lie of the Land</t>
  </si>
  <si>
    <t>D030769</t>
  </si>
  <si>
    <t>The Man with the Answers</t>
  </si>
  <si>
    <t>Cyprus</t>
  </si>
  <si>
    <t>Stelios Kammitsis</t>
  </si>
  <si>
    <t>D030736</t>
  </si>
  <si>
    <t>Crash</t>
  </si>
  <si>
    <t>D003400</t>
  </si>
  <si>
    <t xml:space="preserve">Mädchen in Uniform </t>
  </si>
  <si>
    <t>Leontine Sagan</t>
  </si>
  <si>
    <t>Canada (Quebec)</t>
  </si>
  <si>
    <t>D030843</t>
  </si>
  <si>
    <t>Drive</t>
  </si>
  <si>
    <t>D030842</t>
  </si>
  <si>
    <t>Gosford Park</t>
  </si>
  <si>
    <t>D013869</t>
  </si>
  <si>
    <t>Ae Fond Kiss...</t>
  </si>
  <si>
    <t>D001260</t>
  </si>
  <si>
    <t>To Joy</t>
  </si>
  <si>
    <t>D013331</t>
  </si>
  <si>
    <t>Crisis</t>
  </si>
  <si>
    <t>D001258</t>
  </si>
  <si>
    <t>Port of Call</t>
  </si>
  <si>
    <t>F000390</t>
  </si>
  <si>
    <t>Gallivant</t>
  </si>
  <si>
    <t>D030851</t>
  </si>
  <si>
    <t>I Never Cry</t>
  </si>
  <si>
    <t>Piotr Domalewski</t>
  </si>
  <si>
    <t>D030844</t>
  </si>
  <si>
    <t>Adoption</t>
  </si>
  <si>
    <t>D001262</t>
  </si>
  <si>
    <t>Summer with Monika</t>
  </si>
  <si>
    <t>D030204</t>
  </si>
  <si>
    <t>Polytechnique</t>
  </si>
  <si>
    <t>D031568</t>
  </si>
  <si>
    <t>Queen of Glory</t>
  </si>
  <si>
    <t>Nana Mensah</t>
  </si>
  <si>
    <t>D030856</t>
  </si>
  <si>
    <t>I've Been Trying to Tell You</t>
  </si>
  <si>
    <t>Alasdair McLellan</t>
  </si>
  <si>
    <t>D031145</t>
  </si>
  <si>
    <t>All My Friends Hate Me</t>
  </si>
  <si>
    <t>Andrew Gaynord</t>
  </si>
  <si>
    <t>D030845</t>
  </si>
  <si>
    <t>La Mif</t>
  </si>
  <si>
    <t>Fred Baillif</t>
  </si>
  <si>
    <t>D031417</t>
  </si>
  <si>
    <t>The Feast [Gwledd]</t>
  </si>
  <si>
    <t>Lee Haven Jones</t>
  </si>
  <si>
    <t>D031178</t>
  </si>
  <si>
    <t>Between Two Worlds</t>
  </si>
  <si>
    <t>Emmanuel Carrère</t>
  </si>
  <si>
    <t>D031238</t>
  </si>
  <si>
    <t>Petrov's Flu</t>
  </si>
  <si>
    <t>Kirill Serebrennikov</t>
  </si>
  <si>
    <t>D031288</t>
  </si>
  <si>
    <t>Nitram</t>
  </si>
  <si>
    <t>Great Britain</t>
  </si>
  <si>
    <t>Justin Kurzel</t>
  </si>
  <si>
    <t>D031346</t>
  </si>
  <si>
    <t>All is Vanity</t>
  </si>
  <si>
    <t>Marcos Mereles</t>
  </si>
  <si>
    <t>D031237</t>
  </si>
  <si>
    <t>Memoria</t>
  </si>
  <si>
    <t>D030896</t>
  </si>
  <si>
    <t>Sweet Thing</t>
  </si>
  <si>
    <t>Alexandre Rockwell</t>
  </si>
  <si>
    <t>D030981</t>
  </si>
  <si>
    <t>Rose Plays Julie</t>
  </si>
  <si>
    <t>D030661</t>
  </si>
  <si>
    <t>Souad</t>
  </si>
  <si>
    <t>Ayten Amin</t>
  </si>
  <si>
    <t>D031001</t>
  </si>
  <si>
    <t>The Story of Lover's Rock</t>
  </si>
  <si>
    <t>D031098</t>
  </si>
  <si>
    <t>Bad Luck Banging or Loony Porn</t>
  </si>
  <si>
    <t>Radu Jude</t>
  </si>
  <si>
    <t>D030987</t>
  </si>
  <si>
    <t>The Killing of Two Lovers</t>
  </si>
  <si>
    <t>Robert Machoian</t>
  </si>
  <si>
    <t>D001113</t>
  </si>
  <si>
    <t>The Night Porter</t>
  </si>
  <si>
    <t>Liliana Cavani</t>
  </si>
  <si>
    <t>S038498</t>
  </si>
  <si>
    <t>Bed and Board</t>
  </si>
  <si>
    <t>François Truffaut</t>
  </si>
  <si>
    <t>D028836</t>
  </si>
  <si>
    <t>Stolen Kisses</t>
  </si>
  <si>
    <t>D030499</t>
  </si>
  <si>
    <t>Une belle fille comme moi</t>
  </si>
  <si>
    <t>D024365</t>
  </si>
  <si>
    <t>Love on the Run</t>
  </si>
  <si>
    <t>D028837</t>
  </si>
  <si>
    <t>Antoine et Colette</t>
  </si>
  <si>
    <t>S038517</t>
  </si>
  <si>
    <t>Anne and Muriel [aka Two English Girls]</t>
  </si>
  <si>
    <t>D012539</t>
  </si>
  <si>
    <t>Shoot the Pianist</t>
  </si>
  <si>
    <t>D024363</t>
  </si>
  <si>
    <t>The Woman Next Door</t>
  </si>
  <si>
    <t>D030500</t>
  </si>
  <si>
    <t>Les Mistons</t>
  </si>
  <si>
    <t>S035055</t>
  </si>
  <si>
    <t>Finally, Sunday!</t>
  </si>
  <si>
    <t>D031347</t>
  </si>
  <si>
    <t>In from the Side</t>
  </si>
  <si>
    <t>Matt Carter</t>
  </si>
  <si>
    <t>D001356</t>
  </si>
  <si>
    <t>Salaam Bombay!</t>
  </si>
  <si>
    <t>Mira Nair</t>
  </si>
  <si>
    <t>S030576</t>
  </si>
  <si>
    <t>Out of the Blue</t>
  </si>
  <si>
    <t>Dennis Hopper</t>
  </si>
  <si>
    <t>D031139</t>
  </si>
  <si>
    <t>Identification Marks: None</t>
  </si>
  <si>
    <t>D013911</t>
  </si>
  <si>
    <t>JSA: Joint Security Area</t>
  </si>
  <si>
    <t>D013301</t>
  </si>
  <si>
    <t>Oldboy</t>
  </si>
  <si>
    <t>D018341</t>
  </si>
  <si>
    <t>A Separation</t>
  </si>
  <si>
    <t>Asghar Farhadi</t>
  </si>
  <si>
    <t>D018774</t>
  </si>
  <si>
    <t>Polisse</t>
  </si>
  <si>
    <t>Maïwenn Le Besco</t>
  </si>
  <si>
    <t>D026152</t>
  </si>
  <si>
    <t>Clouds of Sils Maria</t>
  </si>
  <si>
    <t>D028886</t>
  </si>
  <si>
    <t>Frantz</t>
  </si>
  <si>
    <t>D017961</t>
  </si>
  <si>
    <t>Certified Copy</t>
  </si>
  <si>
    <t>Abbas Kiarostami</t>
  </si>
  <si>
    <t>D029259</t>
  </si>
  <si>
    <t>The Square</t>
  </si>
  <si>
    <t>D029979</t>
  </si>
  <si>
    <t>In Fabric</t>
  </si>
  <si>
    <t>D017914</t>
  </si>
  <si>
    <t>White Material</t>
  </si>
  <si>
    <t>S035033</t>
  </si>
  <si>
    <t>A Man Escaped</t>
  </si>
  <si>
    <t>D029584</t>
  </si>
  <si>
    <t>Dogman</t>
  </si>
  <si>
    <t>D001233</t>
  </si>
  <si>
    <t>Les Dames du Bois de Boulogne</t>
  </si>
  <si>
    <t>D031126</t>
  </si>
  <si>
    <t>Tony Takitani</t>
  </si>
  <si>
    <t>Jun Ichikawa</t>
  </si>
  <si>
    <t>D031128</t>
  </si>
  <si>
    <t>Chop Shop</t>
  </si>
  <si>
    <t>Ramin Bahrani</t>
  </si>
  <si>
    <t>D031127</t>
  </si>
  <si>
    <t>Goodbye Solo</t>
  </si>
  <si>
    <t>D031129</t>
  </si>
  <si>
    <t>Servants</t>
  </si>
  <si>
    <t>Slovakia</t>
  </si>
  <si>
    <t>Ivan Ostrochovský</t>
  </si>
  <si>
    <t>D031159</t>
  </si>
  <si>
    <t>Hive</t>
  </si>
  <si>
    <t>Kosovo</t>
  </si>
  <si>
    <t>Blerta Basholli</t>
  </si>
  <si>
    <t>D031162</t>
  </si>
  <si>
    <t>Catch the Fair One</t>
  </si>
  <si>
    <t>Josef Kubota Wladyka</t>
  </si>
  <si>
    <t>D031161</t>
  </si>
  <si>
    <t>Rojo</t>
  </si>
  <si>
    <t>Benjamin Naishtat</t>
  </si>
  <si>
    <t xml:space="preserve">D031172 </t>
  </si>
  <si>
    <t>Saint Jack</t>
  </si>
  <si>
    <t>Peter Bogdanovich</t>
  </si>
  <si>
    <t>D031169</t>
  </si>
  <si>
    <t>Ikarie XB 1</t>
  </si>
  <si>
    <t>Jindrich Polák</t>
  </si>
  <si>
    <t>D031173</t>
  </si>
  <si>
    <t>The Sailor Who Fell from Grace with the Sea</t>
  </si>
  <si>
    <t>Lewis John Carlino</t>
  </si>
  <si>
    <t>S034875</t>
  </si>
  <si>
    <t>Celia</t>
  </si>
  <si>
    <t>Ann Turner</t>
  </si>
  <si>
    <t>D031171</t>
  </si>
  <si>
    <t>Mysterious Object at Noon</t>
  </si>
  <si>
    <t>D031170</t>
  </si>
  <si>
    <t>Dawson City: Frozen Time</t>
  </si>
  <si>
    <t>Bill Morrison</t>
  </si>
  <si>
    <t>D031177</t>
  </si>
  <si>
    <t>Casablanca Beats</t>
  </si>
  <si>
    <t>Nabil Ayouch</t>
  </si>
  <si>
    <t>D031182</t>
  </si>
  <si>
    <t>Beneath Clouds</t>
  </si>
  <si>
    <t>D031190</t>
  </si>
  <si>
    <t>Far from the Apple Tree</t>
  </si>
  <si>
    <t>Grant McPhee</t>
  </si>
  <si>
    <t>D031179</t>
  </si>
  <si>
    <t>The Quiet Girl</t>
  </si>
  <si>
    <t>Colm Bairéad</t>
  </si>
  <si>
    <t>D031183</t>
  </si>
  <si>
    <t>Toomelah</t>
  </si>
  <si>
    <t>D031181</t>
  </si>
  <si>
    <t>My Name Is Gulpilil</t>
  </si>
  <si>
    <t>Molly Reynolds</t>
  </si>
  <si>
    <t>D031184</t>
  </si>
  <si>
    <t>Another Country</t>
  </si>
  <si>
    <t>D031202</t>
  </si>
  <si>
    <t>Reflection</t>
  </si>
  <si>
    <t>Valentyn Vasyanovych</t>
  </si>
  <si>
    <t>D031191</t>
  </si>
  <si>
    <t>John and the Hole</t>
  </si>
  <si>
    <t>Pascual Sisto</t>
  </si>
  <si>
    <t>D031114</t>
  </si>
  <si>
    <t>Lawrence of Belgravia</t>
  </si>
  <si>
    <t>D031250</t>
  </si>
  <si>
    <t>The Drover's Wife: The Legend of Molly Johnson</t>
  </si>
  <si>
    <t>Leah Purcell</t>
  </si>
  <si>
    <t>D031255</t>
  </si>
  <si>
    <t>Top of the Heap</t>
  </si>
  <si>
    <t>Christopher St. John</t>
  </si>
  <si>
    <t>D031249</t>
  </si>
  <si>
    <t>Wayfinder</t>
  </si>
  <si>
    <t>Larry Achiampong</t>
  </si>
  <si>
    <t>D031256</t>
  </si>
  <si>
    <t>No Place Like Home: Redux</t>
  </si>
  <si>
    <t>D031192</t>
  </si>
  <si>
    <t>The Ape Woman</t>
  </si>
  <si>
    <t>D031193</t>
  </si>
  <si>
    <t>Story of a Love Affair</t>
  </si>
  <si>
    <t>D031254</t>
  </si>
  <si>
    <t>Hostile</t>
  </si>
  <si>
    <t>Sonita Gale</t>
  </si>
  <si>
    <t>D031257</t>
  </si>
  <si>
    <t>My Sunny Maad</t>
  </si>
  <si>
    <t>Michaela Pavlátová</t>
  </si>
  <si>
    <t>D031248</t>
  </si>
  <si>
    <t>Swan Song</t>
  </si>
  <si>
    <t>Todd Stephens</t>
  </si>
  <si>
    <t>D031116</t>
  </si>
  <si>
    <t>Being Blacker</t>
  </si>
  <si>
    <t>D018261</t>
  </si>
  <si>
    <t>Pina</t>
  </si>
  <si>
    <t>D013338</t>
  </si>
  <si>
    <t>Dobermann</t>
  </si>
  <si>
    <t>Jan Kounen</t>
  </si>
  <si>
    <t>D026415</t>
  </si>
  <si>
    <t>The Salt of the Earth</t>
  </si>
  <si>
    <t>Juliano Ribeiro Salgado</t>
  </si>
  <si>
    <t>D031272</t>
  </si>
  <si>
    <t>Snowtown</t>
  </si>
  <si>
    <t>D031285</t>
  </si>
  <si>
    <t>Silent Grace</t>
  </si>
  <si>
    <t>Maeve Murphy</t>
  </si>
  <si>
    <t>D031239</t>
  </si>
  <si>
    <t>Theo and the Metamorphosis</t>
  </si>
  <si>
    <t>Damien Odoul</t>
  </si>
  <si>
    <t>S035016</t>
  </si>
  <si>
    <t>The Trial of Joan of Arc</t>
  </si>
  <si>
    <t>S034991</t>
  </si>
  <si>
    <t>Pickpocket</t>
  </si>
  <si>
    <t>S034925</t>
  </si>
  <si>
    <t>L'Argent</t>
  </si>
  <si>
    <t>S038358</t>
  </si>
  <si>
    <t>The 400 Blows</t>
  </si>
  <si>
    <t>S038394</t>
  </si>
  <si>
    <t>La Peau Douce</t>
  </si>
  <si>
    <t>S038359</t>
  </si>
  <si>
    <t>The Last Metro</t>
  </si>
  <si>
    <t>D002181</t>
  </si>
  <si>
    <t>Black Joy</t>
  </si>
  <si>
    <t>Anthony Simmons</t>
  </si>
  <si>
    <t>S032745</t>
  </si>
  <si>
    <t>The Belly of an Architect</t>
  </si>
  <si>
    <t>D031117</t>
  </si>
  <si>
    <t>Sound Business</t>
  </si>
  <si>
    <t>D031240</t>
  </si>
  <si>
    <t>Song without a Name</t>
  </si>
  <si>
    <t>Peru</t>
  </si>
  <si>
    <t>Melina León</t>
  </si>
  <si>
    <t>D031329</t>
  </si>
  <si>
    <t>Losing Ground</t>
  </si>
  <si>
    <t>Kathleen Collins</t>
  </si>
  <si>
    <t>D031330</t>
  </si>
  <si>
    <t>Macunaíma</t>
  </si>
  <si>
    <t>Joaquim Pedro de Andrade</t>
  </si>
  <si>
    <t>D031331</t>
  </si>
  <si>
    <t>White Zombie</t>
  </si>
  <si>
    <t>Victor Halperin</t>
  </si>
  <si>
    <t>D031332</t>
  </si>
  <si>
    <t>Passion in the Desert</t>
  </si>
  <si>
    <t>Lavinia Currier</t>
  </si>
  <si>
    <t>D031567</t>
  </si>
  <si>
    <t>Hatching</t>
  </si>
  <si>
    <t>Hanna Bergholm</t>
  </si>
  <si>
    <t>D031597</t>
  </si>
  <si>
    <t>Blaze</t>
  </si>
  <si>
    <t>Del Kathryn Barton</t>
  </si>
  <si>
    <t>D031246</t>
  </si>
  <si>
    <t>Enys Men</t>
  </si>
  <si>
    <t>D031333</t>
  </si>
  <si>
    <t>EO</t>
  </si>
  <si>
    <t>D031295</t>
  </si>
  <si>
    <t>Anaïs in Love</t>
  </si>
  <si>
    <t>Charline Bourgeois-Tacquet</t>
  </si>
  <si>
    <t>S035416</t>
  </si>
  <si>
    <t>Jules et Jim</t>
  </si>
  <si>
    <t>S030934</t>
  </si>
  <si>
    <t>Häxan</t>
  </si>
  <si>
    <t>Benjamin Christensen</t>
  </si>
  <si>
    <t>D031352</t>
  </si>
  <si>
    <t>Lord Shango</t>
  </si>
  <si>
    <t>Ray Marsh</t>
  </si>
  <si>
    <t>D031353</t>
  </si>
  <si>
    <t>Long Weekend</t>
  </si>
  <si>
    <t>Colin Eggleston</t>
  </si>
  <si>
    <t>D031354</t>
  </si>
  <si>
    <t>Earwig</t>
  </si>
  <si>
    <t>D013895</t>
  </si>
  <si>
    <t>Good Manners</t>
  </si>
  <si>
    <t>Juliana Rojas</t>
  </si>
  <si>
    <t>Marco Dutra</t>
  </si>
  <si>
    <t>D031244</t>
  </si>
  <si>
    <t>The Appointment</t>
  </si>
  <si>
    <t>Lindsey C. Vickers</t>
  </si>
  <si>
    <t>D013058</t>
  </si>
  <si>
    <t>Nil by Mouth</t>
  </si>
  <si>
    <t>Gary Oldman</t>
  </si>
  <si>
    <t>D003344</t>
  </si>
  <si>
    <t>The Chant of Jimmie Blacksmith</t>
  </si>
  <si>
    <t>Fred Schepisi</t>
  </si>
  <si>
    <t>S035393</t>
  </si>
  <si>
    <t>Viy</t>
  </si>
  <si>
    <t>Georgi Kropachov</t>
  </si>
  <si>
    <t>Konstantin Yershov</t>
  </si>
  <si>
    <t>D031355</t>
  </si>
  <si>
    <t>The Great Silence</t>
  </si>
  <si>
    <t>S031191</t>
  </si>
  <si>
    <t>Waxworks</t>
  </si>
  <si>
    <t>Paul Leni</t>
  </si>
  <si>
    <t>D031418</t>
  </si>
  <si>
    <t>Ghostwatch: Behind the Curtains</t>
  </si>
  <si>
    <t>news</t>
  </si>
  <si>
    <t>Rich Lawden</t>
  </si>
  <si>
    <t>D031131</t>
  </si>
  <si>
    <t>The Greenaway Alphabet</t>
  </si>
  <si>
    <t>Saskia Boddeke</t>
  </si>
  <si>
    <t>S038373</t>
  </si>
  <si>
    <t>The Baby of Mâcon</t>
  </si>
  <si>
    <t>D031443</t>
  </si>
  <si>
    <t>81⁄2  Women</t>
  </si>
  <si>
    <t>S038705</t>
  </si>
  <si>
    <t>The Pillow Book</t>
  </si>
  <si>
    <t>S030838</t>
  </si>
  <si>
    <t>Prospero's Books</t>
  </si>
  <si>
    <t>D031440</t>
  </si>
  <si>
    <t>Flux Gourmet</t>
  </si>
  <si>
    <t>D031420</t>
  </si>
  <si>
    <t>Pontypool</t>
  </si>
  <si>
    <t>Bruce Mcdonald</t>
  </si>
  <si>
    <t>D031419</t>
  </si>
  <si>
    <t>A Dark Song</t>
  </si>
  <si>
    <t>Liam Gavin</t>
  </si>
  <si>
    <t>D018124</t>
  </si>
  <si>
    <t>The Gleaners &amp; I</t>
  </si>
  <si>
    <t>D013315</t>
  </si>
  <si>
    <t>À ma soeur!</t>
  </si>
  <si>
    <t>D017684</t>
  </si>
  <si>
    <t>Lord of the Flies</t>
  </si>
  <si>
    <t>Peter Brook</t>
  </si>
  <si>
    <t>D002242</t>
  </si>
  <si>
    <t>The Honeymoon Killers</t>
  </si>
  <si>
    <t>Leonard Kastle</t>
  </si>
  <si>
    <t>S035005</t>
  </si>
  <si>
    <t>Smooth Talk</t>
  </si>
  <si>
    <t>Joyce Chopra</t>
  </si>
  <si>
    <t>S032752</t>
  </si>
  <si>
    <t>Drowning by Numbers</t>
  </si>
  <si>
    <t>D003419</t>
  </si>
  <si>
    <t>News From Home</t>
  </si>
  <si>
    <t>Chantal Akerman</t>
  </si>
  <si>
    <t>D003385</t>
  </si>
  <si>
    <t>Jeanne Dielman, 23 quai du Commerce, 1080 Bruxelles</t>
  </si>
  <si>
    <t>D031174</t>
  </si>
  <si>
    <t>Rembrandt's J'Accuse</t>
  </si>
  <si>
    <t>D014204</t>
  </si>
  <si>
    <t>Sátántangó: Part One</t>
  </si>
  <si>
    <t>Béla Tarr</t>
  </si>
  <si>
    <t>Sátántangó: Part Two</t>
  </si>
  <si>
    <t>D031464</t>
  </si>
  <si>
    <t>Girls Girls Girls</t>
  </si>
  <si>
    <t>Alli Haapasalo</t>
  </si>
  <si>
    <t>D018107</t>
  </si>
  <si>
    <t>Oss Oss Wee Oss</t>
  </si>
  <si>
    <t>Alan Lomax</t>
  </si>
  <si>
    <t>D030146</t>
  </si>
  <si>
    <t>Dear Marianne</t>
  </si>
  <si>
    <t>D030145</t>
  </si>
  <si>
    <t>The Essential Cornishman</t>
  </si>
  <si>
    <t>D031559</t>
  </si>
  <si>
    <t>29 Hour Long Birthday</t>
  </si>
  <si>
    <t>D030147</t>
  </si>
  <si>
    <t>The Road to Zennor</t>
  </si>
  <si>
    <t>D018164</t>
  </si>
  <si>
    <t>Essential Killing</t>
  </si>
  <si>
    <t>D031615</t>
  </si>
  <si>
    <t>Eaten by Lions</t>
  </si>
  <si>
    <t>Jason Wingard</t>
  </si>
  <si>
    <t>D031651</t>
  </si>
  <si>
    <t>Zero Degrees</t>
  </si>
  <si>
    <t>Deborah May</t>
  </si>
  <si>
    <t>D031652</t>
  </si>
  <si>
    <t>Sacred Monsters</t>
  </si>
  <si>
    <t>D031649</t>
  </si>
  <si>
    <t>I Don't Want to Sleep Alone</t>
  </si>
  <si>
    <t>D031650</t>
  </si>
  <si>
    <t>A Call Girl</t>
  </si>
  <si>
    <t>Damjan Kozole</t>
  </si>
  <si>
    <t>S034436</t>
  </si>
  <si>
    <t>Le depart</t>
  </si>
  <si>
    <t>D031675</t>
  </si>
  <si>
    <t>Big Boys Don't Cry</t>
  </si>
  <si>
    <t>Steve Crowhurst</t>
  </si>
  <si>
    <t>D031696</t>
  </si>
  <si>
    <t>Lingua Franca</t>
  </si>
  <si>
    <t>Isabel Sandoval</t>
  </si>
  <si>
    <t>D031689</t>
  </si>
  <si>
    <t>Blue Jean</t>
  </si>
  <si>
    <t>Georgia Oakley</t>
  </si>
  <si>
    <t>D031703</t>
  </si>
  <si>
    <t>Silent Love</t>
  </si>
  <si>
    <t>Marek Kozakiewicz</t>
  </si>
  <si>
    <t>D031720</t>
  </si>
  <si>
    <t>Pirates</t>
  </si>
  <si>
    <t>Reggie Yates</t>
  </si>
  <si>
    <t>ID</t>
  </si>
  <si>
    <t>Genre 1</t>
  </si>
  <si>
    <t>Genre 2</t>
  </si>
  <si>
    <t>Director 1</t>
  </si>
  <si>
    <t>Director 2</t>
  </si>
  <si>
    <t>Start date</t>
  </si>
  <si>
    <t>End date</t>
  </si>
  <si>
    <t>&lt; 6 months remaining</t>
  </si>
  <si>
    <t>monthly pick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</si>
</sst>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wrapText="1"/>
    </xf>
    <xf numFmtId="0" fontId="16" fillId="0" borderId="0" xfId="0" applyFont="1"/>
    <xf numFmtId="0" fontId="16" fillId="0" borderId="0" xfId="0" applyFont="1" applyAlignment="1">
      <alignment wrapText="1"/>
    </xf>
    <xf numFmtId="14" fontId="0" fillId="0" borderId="0" xfId="0" applyNumberFormat="1"/>
    <xf numFmtId="0" fontId="0" fillId="33" borderId="0" xfId="0" applyFill="1"/>
    <xf numFmtId="0" fontId="0" fillId="33" borderId="0" xfId="0" applyFill="1" applyAlignment="1">
      <alignment wrapText="1"/>
    </xf>
    <xf numFmtId="14" fontId="0" fillId="33" borderId="0" xfId="0" applyNumberFormat="1" applyFill="1"/>
    <xf numFmtId="0" fontId="0" fillId="34" borderId="0" xfId="0" applyFill="1"/>
    <xf numFmtId="0" fontId="0" fillId="35" borderId="0" xfId="0" applyFill="1"/>
    <xf numFmtId="0" fontId="0" fillId="35" borderId="0" xfId="0" applyFill="1" applyAlignment="1">
      <alignment wrapText="1"/>
    </xf>
    <xf numFmtId="14" fontId="0" fillId="35" borderId="0" xfId="0" applyNumberFormat="1" applyFill="1"/>
    <xf numFmtId="0" fontId="18" fillId="35" borderId="0" xfId="42" applyFill="1" applyAlignment="1">
      <alignment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layer.bfi.org.uk/subscription/film/watch-eaten-by-lions-2018-online" TargetMode="External"/><Relationship Id="rId2" Type="http://schemas.openxmlformats.org/officeDocument/2006/relationships/hyperlink" Target="https://player.bfi.org.uk/subscription/film/watch-blue-jean-2022-online" TargetMode="External"/><Relationship Id="rId1" Type="http://schemas.openxmlformats.org/officeDocument/2006/relationships/hyperlink" Target="https://player.bfi.org.uk/subscription/film/watch-real-2019-online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player.bfi.org.uk/subscription/film/watch-sacred-monsters-2009-online" TargetMode="External"/><Relationship Id="rId4" Type="http://schemas.openxmlformats.org/officeDocument/2006/relationships/hyperlink" Target="https://player.bfi.org.uk/subscription/film/watch-identification-marks-none-1964-onlin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0"/>
  <sheetViews>
    <sheetView tabSelected="1" workbookViewId="0">
      <selection activeCell="B1" sqref="B1:B1048576"/>
    </sheetView>
  </sheetViews>
  <sheetFormatPr defaultRowHeight="14.5" x14ac:dyDescent="0.35"/>
  <cols>
    <col min="2" max="2" width="33" style="1" customWidth="1"/>
    <col min="3" max="3" width="11.1796875" hidden="1" customWidth="1"/>
    <col min="4" max="4" width="11.90625" customWidth="1"/>
    <col min="5" max="5" width="12.1796875" customWidth="1"/>
    <col min="6" max="6" width="11.1796875" hidden="1" customWidth="1"/>
    <col min="7" max="7" width="16.08984375" style="1" customWidth="1"/>
    <col min="8" max="8" width="13.54296875" customWidth="1"/>
    <col min="9" max="9" width="12.36328125" style="1" customWidth="1"/>
    <col min="10" max="10" width="10.6328125" style="1" customWidth="1"/>
    <col min="11" max="11" width="18.54296875" style="1" customWidth="1"/>
    <col min="12" max="12" width="18.6328125" style="1" customWidth="1"/>
    <col min="14" max="14" width="8.90625" customWidth="1"/>
  </cols>
  <sheetData>
    <row r="1" spans="1:15" x14ac:dyDescent="0.35">
      <c r="A1" s="2" t="s">
        <v>1610</v>
      </c>
      <c r="B1" s="3" t="s">
        <v>0</v>
      </c>
      <c r="C1" s="2" t="s">
        <v>1</v>
      </c>
      <c r="D1" s="2" t="s">
        <v>1615</v>
      </c>
      <c r="E1" s="2" t="s">
        <v>1616</v>
      </c>
      <c r="F1" s="2" t="s">
        <v>2</v>
      </c>
      <c r="G1" s="3" t="s">
        <v>3</v>
      </c>
      <c r="H1" s="2" t="s">
        <v>4</v>
      </c>
      <c r="I1" s="3" t="s">
        <v>1611</v>
      </c>
      <c r="J1" s="3" t="s">
        <v>1612</v>
      </c>
      <c r="K1" s="3" t="s">
        <v>1613</v>
      </c>
      <c r="L1" s="3" t="s">
        <v>1614</v>
      </c>
    </row>
    <row r="2" spans="1:15" x14ac:dyDescent="0.35">
      <c r="A2" s="9" t="s">
        <v>1294</v>
      </c>
      <c r="B2" s="12" t="s">
        <v>1295</v>
      </c>
      <c r="C2" s="9" t="str">
        <f>"2023/07/03"</f>
        <v>2023/07/03</v>
      </c>
      <c r="D2" s="11">
        <f t="shared" ref="D2:D65" si="0">DATEVALUE(C2)</f>
        <v>45110</v>
      </c>
      <c r="E2" s="11">
        <f t="shared" ref="E2:E65" si="1">DATEVALUE(F2)</f>
        <v>45474</v>
      </c>
      <c r="F2" s="9" t="str">
        <f>"2024/07/01"</f>
        <v>2024/07/01</v>
      </c>
      <c r="G2" s="10" t="s">
        <v>647</v>
      </c>
      <c r="H2" s="9">
        <v>1964</v>
      </c>
      <c r="I2" s="10" t="s">
        <v>13</v>
      </c>
      <c r="J2" s="10"/>
      <c r="K2" s="10" t="s">
        <v>14</v>
      </c>
      <c r="L2" s="10"/>
      <c r="N2" s="5"/>
      <c r="O2" t="s">
        <v>1617</v>
      </c>
    </row>
    <row r="3" spans="1:15" x14ac:dyDescent="0.35">
      <c r="A3" t="s">
        <v>745</v>
      </c>
      <c r="B3" s="1" t="s">
        <v>746</v>
      </c>
      <c r="C3" t="str">
        <f>"2023/06/26"</f>
        <v>2023/06/26</v>
      </c>
      <c r="D3" s="4">
        <f t="shared" si="0"/>
        <v>45103</v>
      </c>
      <c r="E3" s="4">
        <f t="shared" si="1"/>
        <v>47785</v>
      </c>
      <c r="F3" t="str">
        <f>"2030/10/29"</f>
        <v>2030/10/29</v>
      </c>
      <c r="G3" s="1" t="s">
        <v>49</v>
      </c>
      <c r="H3">
        <v>1982</v>
      </c>
      <c r="I3" s="1" t="s">
        <v>6</v>
      </c>
      <c r="J3" s="1" t="s">
        <v>13</v>
      </c>
      <c r="K3" s="1" t="s">
        <v>51</v>
      </c>
      <c r="N3" s="8"/>
      <c r="O3" t="s">
        <v>1618</v>
      </c>
    </row>
    <row r="4" spans="1:15" x14ac:dyDescent="0.35">
      <c r="A4" t="s">
        <v>1473</v>
      </c>
      <c r="B4" s="1" t="s">
        <v>1474</v>
      </c>
      <c r="C4" t="str">
        <f>"2023/05/01"</f>
        <v>2023/05/01</v>
      </c>
      <c r="D4" s="4">
        <f t="shared" si="0"/>
        <v>45047</v>
      </c>
      <c r="E4" s="4">
        <f t="shared" si="1"/>
        <v>48592</v>
      </c>
      <c r="F4" t="str">
        <f>"2033/01/13"</f>
        <v>2033/01/13</v>
      </c>
      <c r="G4" s="1" t="s">
        <v>61</v>
      </c>
      <c r="H4">
        <v>2022</v>
      </c>
      <c r="I4" s="1" t="s">
        <v>8</v>
      </c>
      <c r="J4" s="1" t="s">
        <v>37</v>
      </c>
      <c r="K4" s="1" t="s">
        <v>1010</v>
      </c>
    </row>
    <row r="5" spans="1:15" x14ac:dyDescent="0.35">
      <c r="A5" t="s">
        <v>99</v>
      </c>
      <c r="B5" s="1" t="s">
        <v>100</v>
      </c>
      <c r="C5" t="str">
        <f>"2023/04/20"</f>
        <v>2023/04/20</v>
      </c>
      <c r="D5" s="4">
        <f t="shared" si="0"/>
        <v>45036</v>
      </c>
      <c r="E5" s="4">
        <f t="shared" si="1"/>
        <v>45393</v>
      </c>
      <c r="F5" t="str">
        <f>"2024/04/11"</f>
        <v>2024/04/11</v>
      </c>
      <c r="G5" s="1" t="s">
        <v>101</v>
      </c>
      <c r="H5">
        <v>2008</v>
      </c>
      <c r="I5" s="1" t="s">
        <v>13</v>
      </c>
      <c r="K5" s="1" t="s">
        <v>102</v>
      </c>
    </row>
    <row r="6" spans="1:15" x14ac:dyDescent="0.35">
      <c r="A6" t="s">
        <v>1590</v>
      </c>
      <c r="B6" s="1" t="s">
        <v>1591</v>
      </c>
      <c r="C6" t="str">
        <f>"2023/04/17"</f>
        <v>2023/04/17</v>
      </c>
      <c r="D6" s="4">
        <f t="shared" si="0"/>
        <v>45033</v>
      </c>
      <c r="E6" s="4">
        <f t="shared" si="1"/>
        <v>45383</v>
      </c>
      <c r="F6" t="str">
        <f>"2024/04/01"</f>
        <v>2024/04/01</v>
      </c>
      <c r="G6" s="1" t="s">
        <v>943</v>
      </c>
      <c r="H6">
        <v>2009</v>
      </c>
      <c r="I6" s="1" t="s">
        <v>124</v>
      </c>
      <c r="J6" s="1" t="s">
        <v>13</v>
      </c>
      <c r="K6" s="1" t="s">
        <v>1592</v>
      </c>
    </row>
    <row r="7" spans="1:15" x14ac:dyDescent="0.35">
      <c r="A7" s="5" t="s">
        <v>1607</v>
      </c>
      <c r="B7" s="6" t="s">
        <v>1608</v>
      </c>
      <c r="C7" s="5" t="str">
        <f>"2023/04/13"</f>
        <v>2023/04/13</v>
      </c>
      <c r="D7" s="7">
        <f t="shared" si="0"/>
        <v>45029</v>
      </c>
      <c r="E7" s="7">
        <f t="shared" si="1"/>
        <v>45199</v>
      </c>
      <c r="F7" s="5" t="str">
        <f>"2023/09/30"</f>
        <v>2023/09/30</v>
      </c>
      <c r="G7" s="6" t="s">
        <v>61</v>
      </c>
      <c r="H7" s="5">
        <v>2021</v>
      </c>
      <c r="I7" s="6" t="s">
        <v>12</v>
      </c>
      <c r="J7" s="6" t="s">
        <v>13</v>
      </c>
      <c r="K7" s="6" t="s">
        <v>1609</v>
      </c>
      <c r="L7" s="6"/>
    </row>
    <row r="8" spans="1:15" ht="29" x14ac:dyDescent="0.35">
      <c r="A8" t="s">
        <v>1583</v>
      </c>
      <c r="B8" s="1" t="s">
        <v>1584</v>
      </c>
      <c r="C8" t="str">
        <f>"2023/04/10"</f>
        <v>2023/04/10</v>
      </c>
      <c r="D8" s="4">
        <f t="shared" si="0"/>
        <v>45026</v>
      </c>
      <c r="E8" s="4">
        <f t="shared" si="1"/>
        <v>45383</v>
      </c>
      <c r="F8" t="str">
        <f>"2024/04/01"</f>
        <v>2024/04/01</v>
      </c>
      <c r="G8" s="1" t="s">
        <v>61</v>
      </c>
      <c r="H8">
        <v>2008</v>
      </c>
      <c r="I8" s="1" t="s">
        <v>31</v>
      </c>
      <c r="J8" s="1" t="s">
        <v>168</v>
      </c>
      <c r="K8" s="1" t="s">
        <v>1585</v>
      </c>
    </row>
    <row r="9" spans="1:15" x14ac:dyDescent="0.35">
      <c r="A9" s="9" t="s">
        <v>1586</v>
      </c>
      <c r="B9" s="12" t="s">
        <v>1587</v>
      </c>
      <c r="C9" s="9" t="str">
        <f>"2023/04/10"</f>
        <v>2023/04/10</v>
      </c>
      <c r="D9" s="11">
        <f t="shared" si="0"/>
        <v>45026</v>
      </c>
      <c r="E9" s="11">
        <f t="shared" si="1"/>
        <v>45383</v>
      </c>
      <c r="F9" s="9" t="str">
        <f>"2024/04/01"</f>
        <v>2024/04/01</v>
      </c>
      <c r="G9" s="10" t="s">
        <v>61</v>
      </c>
      <c r="H9" s="9">
        <v>2009</v>
      </c>
      <c r="I9" s="10" t="s">
        <v>31</v>
      </c>
      <c r="J9" s="10" t="s">
        <v>32</v>
      </c>
      <c r="K9" s="10" t="s">
        <v>1585</v>
      </c>
      <c r="L9" s="10"/>
    </row>
    <row r="10" spans="1:15" x14ac:dyDescent="0.35">
      <c r="A10" t="s">
        <v>336</v>
      </c>
      <c r="B10" s="1" t="s">
        <v>337</v>
      </c>
      <c r="C10" t="str">
        <f>"2023/04/06"</f>
        <v>2023/04/06</v>
      </c>
      <c r="D10" s="4">
        <f t="shared" si="0"/>
        <v>45022</v>
      </c>
      <c r="E10" s="4">
        <f t="shared" si="1"/>
        <v>46243</v>
      </c>
      <c r="F10" t="str">
        <f>"2026/08/09"</f>
        <v>2026/08/09</v>
      </c>
      <c r="G10" s="1" t="s">
        <v>61</v>
      </c>
      <c r="H10">
        <v>1985</v>
      </c>
      <c r="I10" s="1" t="s">
        <v>6</v>
      </c>
      <c r="J10" s="1" t="s">
        <v>12</v>
      </c>
      <c r="K10" s="1" t="s">
        <v>338</v>
      </c>
    </row>
    <row r="11" spans="1:15" ht="29" x14ac:dyDescent="0.35">
      <c r="A11" t="s">
        <v>9</v>
      </c>
      <c r="B11" s="1" t="s">
        <v>10</v>
      </c>
      <c r="C11" t="str">
        <f>"2023/04/03"</f>
        <v>2023/04/03</v>
      </c>
      <c r="D11" s="4">
        <f t="shared" si="0"/>
        <v>45019</v>
      </c>
      <c r="E11" s="4">
        <f t="shared" si="1"/>
        <v>45383</v>
      </c>
      <c r="F11" t="str">
        <f>"2024/04/01"</f>
        <v>2024/04/01</v>
      </c>
      <c r="G11" s="1" t="s">
        <v>11</v>
      </c>
      <c r="H11">
        <v>1970</v>
      </c>
      <c r="I11" s="1" t="s">
        <v>12</v>
      </c>
      <c r="J11" s="1" t="s">
        <v>13</v>
      </c>
      <c r="K11" s="1" t="s">
        <v>14</v>
      </c>
    </row>
    <row r="12" spans="1:15" x14ac:dyDescent="0.35">
      <c r="A12" t="s">
        <v>1475</v>
      </c>
      <c r="B12" s="1" t="s">
        <v>1476</v>
      </c>
      <c r="C12" t="str">
        <f>"2023/04/03"</f>
        <v>2023/04/03</v>
      </c>
      <c r="D12" s="4">
        <f t="shared" si="0"/>
        <v>45019</v>
      </c>
      <c r="E12" s="4">
        <f t="shared" si="1"/>
        <v>45383</v>
      </c>
      <c r="F12" t="str">
        <f>"2024/04/01"</f>
        <v>2024/04/01</v>
      </c>
      <c r="G12" s="1" t="s">
        <v>647</v>
      </c>
      <c r="H12">
        <v>2022</v>
      </c>
      <c r="I12" s="1" t="s">
        <v>83</v>
      </c>
      <c r="J12" s="1" t="s">
        <v>13</v>
      </c>
      <c r="K12" s="1" t="s">
        <v>14</v>
      </c>
    </row>
    <row r="13" spans="1:15" x14ac:dyDescent="0.35">
      <c r="A13" t="s">
        <v>1530</v>
      </c>
      <c r="B13" s="1" t="s">
        <v>1531</v>
      </c>
      <c r="C13" t="str">
        <f>"2023/04/03"</f>
        <v>2023/04/03</v>
      </c>
      <c r="D13" s="4">
        <f t="shared" si="0"/>
        <v>45019</v>
      </c>
      <c r="E13" s="4">
        <f t="shared" si="1"/>
        <v>45385</v>
      </c>
      <c r="F13" t="str">
        <f>"2024/04/03"</f>
        <v>2024/04/03</v>
      </c>
      <c r="G13" s="1" t="s">
        <v>61</v>
      </c>
      <c r="H13">
        <v>2022</v>
      </c>
      <c r="I13" s="1" t="s">
        <v>12</v>
      </c>
      <c r="J13" s="1" t="s">
        <v>13</v>
      </c>
      <c r="K13" s="1" t="s">
        <v>145</v>
      </c>
    </row>
    <row r="14" spans="1:15" x14ac:dyDescent="0.35">
      <c r="A14" t="s">
        <v>1578</v>
      </c>
      <c r="B14" s="1" t="s">
        <v>1579</v>
      </c>
      <c r="C14" t="str">
        <f>"2023/04/03"</f>
        <v>2023/04/03</v>
      </c>
      <c r="D14" s="4">
        <f t="shared" si="0"/>
        <v>45019</v>
      </c>
      <c r="E14" s="4">
        <f t="shared" si="1"/>
        <v>45385</v>
      </c>
      <c r="F14" t="str">
        <f>"2024/04/03"</f>
        <v>2024/04/03</v>
      </c>
      <c r="G14" s="1" t="s">
        <v>647</v>
      </c>
      <c r="H14">
        <v>2010</v>
      </c>
      <c r="I14" s="1" t="s">
        <v>41</v>
      </c>
      <c r="J14" s="1" t="s">
        <v>50</v>
      </c>
      <c r="K14" s="1" t="s">
        <v>14</v>
      </c>
    </row>
    <row r="15" spans="1:15" x14ac:dyDescent="0.35">
      <c r="A15" t="s">
        <v>1593</v>
      </c>
      <c r="B15" s="1" t="s">
        <v>1594</v>
      </c>
      <c r="C15" t="str">
        <f>"2023/04/03"</f>
        <v>2023/04/03</v>
      </c>
      <c r="D15" s="4">
        <f t="shared" si="0"/>
        <v>45019</v>
      </c>
      <c r="E15" s="4">
        <f t="shared" si="1"/>
        <v>45385</v>
      </c>
      <c r="F15" t="str">
        <f>"2024/04/03"</f>
        <v>2024/04/03</v>
      </c>
      <c r="G15" s="1" t="s">
        <v>268</v>
      </c>
      <c r="H15">
        <v>1966</v>
      </c>
      <c r="I15" s="1" t="s">
        <v>12</v>
      </c>
      <c r="J15" s="1" t="s">
        <v>13</v>
      </c>
      <c r="K15" s="1" t="s">
        <v>14</v>
      </c>
    </row>
    <row r="16" spans="1:15" x14ac:dyDescent="0.35">
      <c r="A16" t="s">
        <v>1017</v>
      </c>
      <c r="B16" s="1" t="s">
        <v>1018</v>
      </c>
      <c r="C16" t="str">
        <f>"2023/04/01"</f>
        <v>2023/04/01</v>
      </c>
      <c r="D16" s="4">
        <f t="shared" si="0"/>
        <v>45017</v>
      </c>
      <c r="E16" s="4">
        <f t="shared" si="1"/>
        <v>45382</v>
      </c>
      <c r="F16" t="str">
        <f>"2024/03/31"</f>
        <v>2024/03/31</v>
      </c>
      <c r="G16" s="1" t="s">
        <v>395</v>
      </c>
      <c r="H16">
        <v>1975</v>
      </c>
      <c r="I16" s="1" t="s">
        <v>13</v>
      </c>
      <c r="J16" s="1" t="s">
        <v>37</v>
      </c>
      <c r="K16" s="1" t="s">
        <v>1019</v>
      </c>
    </row>
    <row r="17" spans="1:12" x14ac:dyDescent="0.35">
      <c r="A17" t="s">
        <v>1141</v>
      </c>
      <c r="B17" s="1" t="s">
        <v>1142</v>
      </c>
      <c r="C17" t="str">
        <f>"2023/04/01"</f>
        <v>2023/04/01</v>
      </c>
      <c r="D17" s="4">
        <f t="shared" si="0"/>
        <v>45017</v>
      </c>
      <c r="E17" s="4">
        <f t="shared" si="1"/>
        <v>45382</v>
      </c>
      <c r="F17" t="str">
        <f>"2024/03/31"</f>
        <v>2024/03/31</v>
      </c>
      <c r="G17" s="1" t="s">
        <v>36</v>
      </c>
      <c r="H17">
        <v>1974</v>
      </c>
      <c r="I17" s="1" t="s">
        <v>6</v>
      </c>
      <c r="J17" s="1" t="s">
        <v>18</v>
      </c>
      <c r="K17" s="1" t="s">
        <v>1143</v>
      </c>
    </row>
    <row r="18" spans="1:12" x14ac:dyDescent="0.35">
      <c r="A18" t="s">
        <v>945</v>
      </c>
      <c r="B18" s="1" t="s">
        <v>946</v>
      </c>
      <c r="C18" t="str">
        <f>"2023/03/27"</f>
        <v>2023/03/27</v>
      </c>
      <c r="D18" s="4">
        <f t="shared" si="0"/>
        <v>45012</v>
      </c>
      <c r="E18" s="4">
        <f t="shared" si="1"/>
        <v>45352</v>
      </c>
      <c r="F18" t="str">
        <f>"2024/03/01"</f>
        <v>2024/03/01</v>
      </c>
      <c r="G18" s="1" t="s">
        <v>61</v>
      </c>
      <c r="H18">
        <v>2018</v>
      </c>
      <c r="I18" s="1" t="s">
        <v>52</v>
      </c>
      <c r="J18" s="1" t="s">
        <v>13</v>
      </c>
      <c r="K18" s="1" t="s">
        <v>947</v>
      </c>
    </row>
    <row r="19" spans="1:12" x14ac:dyDescent="0.35">
      <c r="A19" s="9" t="s">
        <v>1580</v>
      </c>
      <c r="B19" s="12" t="s">
        <v>1581</v>
      </c>
      <c r="C19" s="9" t="str">
        <f>"2023/03/27"</f>
        <v>2023/03/27</v>
      </c>
      <c r="D19" s="11">
        <f t="shared" si="0"/>
        <v>45012</v>
      </c>
      <c r="E19" s="11">
        <f t="shared" si="1"/>
        <v>45352</v>
      </c>
      <c r="F19" s="9" t="str">
        <f>"2024/03/01"</f>
        <v>2024/03/01</v>
      </c>
      <c r="G19" s="10" t="s">
        <v>61</v>
      </c>
      <c r="H19" s="9">
        <v>2018</v>
      </c>
      <c r="I19" s="10" t="s">
        <v>12</v>
      </c>
      <c r="J19" s="10" t="s">
        <v>13</v>
      </c>
      <c r="K19" s="10" t="s">
        <v>1582</v>
      </c>
      <c r="L19" s="10"/>
    </row>
    <row r="20" spans="1:12" x14ac:dyDescent="0.35">
      <c r="A20" t="s">
        <v>1604</v>
      </c>
      <c r="B20" s="1" t="s">
        <v>1605</v>
      </c>
      <c r="C20" t="str">
        <f>"2023/03/25"</f>
        <v>2023/03/25</v>
      </c>
      <c r="D20" s="4">
        <f t="shared" si="0"/>
        <v>45010</v>
      </c>
      <c r="E20" s="4">
        <f t="shared" si="1"/>
        <v>45376</v>
      </c>
      <c r="F20" t="str">
        <f>"2024/03/25"</f>
        <v>2024/03/25</v>
      </c>
      <c r="G20" s="1" t="s">
        <v>647</v>
      </c>
      <c r="H20">
        <v>2022</v>
      </c>
      <c r="I20" s="1" t="s">
        <v>31</v>
      </c>
      <c r="J20" s="1" t="s">
        <v>117</v>
      </c>
      <c r="K20" s="1" t="s">
        <v>1606</v>
      </c>
    </row>
    <row r="21" spans="1:12" x14ac:dyDescent="0.35">
      <c r="A21" s="9" t="s">
        <v>1601</v>
      </c>
      <c r="B21" s="12" t="s">
        <v>1602</v>
      </c>
      <c r="C21" s="9" t="str">
        <f>"2023/03/25"</f>
        <v>2023/03/25</v>
      </c>
      <c r="D21" s="11">
        <f t="shared" si="0"/>
        <v>45010</v>
      </c>
      <c r="E21" s="11">
        <f t="shared" si="1"/>
        <v>45560</v>
      </c>
      <c r="F21" s="9" t="str">
        <f>"2024/09/25"</f>
        <v>2024/09/25</v>
      </c>
      <c r="G21" s="10" t="s">
        <v>61</v>
      </c>
      <c r="H21" s="9">
        <v>2022</v>
      </c>
      <c r="I21" s="10" t="s">
        <v>13</v>
      </c>
      <c r="J21" s="10" t="s">
        <v>117</v>
      </c>
      <c r="K21" s="10" t="s">
        <v>1603</v>
      </c>
      <c r="L21" s="10"/>
    </row>
    <row r="22" spans="1:12" x14ac:dyDescent="0.35">
      <c r="A22" t="s">
        <v>1598</v>
      </c>
      <c r="B22" s="1" t="s">
        <v>1599</v>
      </c>
      <c r="C22" t="str">
        <f>"2023/03/23"</f>
        <v>2023/03/23</v>
      </c>
      <c r="D22" s="4">
        <f t="shared" si="0"/>
        <v>45008</v>
      </c>
      <c r="E22" s="4">
        <f t="shared" si="1"/>
        <v>45367</v>
      </c>
      <c r="F22" t="str">
        <f>"2024/03/16"</f>
        <v>2024/03/16</v>
      </c>
      <c r="G22" s="1" t="s">
        <v>36</v>
      </c>
      <c r="H22">
        <v>2019</v>
      </c>
      <c r="I22" s="1" t="s">
        <v>13</v>
      </c>
      <c r="J22" s="1" t="s">
        <v>117</v>
      </c>
      <c r="K22" s="1" t="s">
        <v>1600</v>
      </c>
    </row>
    <row r="23" spans="1:12" x14ac:dyDescent="0.35">
      <c r="A23" t="s">
        <v>928</v>
      </c>
      <c r="B23" s="1" t="s">
        <v>929</v>
      </c>
      <c r="C23" t="str">
        <f>"2023/03/15"</f>
        <v>2023/03/15</v>
      </c>
      <c r="D23" s="4">
        <f t="shared" si="0"/>
        <v>45000</v>
      </c>
      <c r="E23" s="4">
        <f t="shared" si="1"/>
        <v>45352</v>
      </c>
      <c r="F23" t="str">
        <f>"2024/03/01"</f>
        <v>2024/03/01</v>
      </c>
      <c r="G23" s="1" t="s">
        <v>890</v>
      </c>
      <c r="H23">
        <v>2018</v>
      </c>
      <c r="I23" s="1" t="s">
        <v>12</v>
      </c>
      <c r="J23" s="1" t="s">
        <v>13</v>
      </c>
      <c r="K23" s="1" t="s">
        <v>930</v>
      </c>
      <c r="L23" s="1" t="s">
        <v>931</v>
      </c>
    </row>
    <row r="24" spans="1:12" x14ac:dyDescent="0.35">
      <c r="A24" t="s">
        <v>1285</v>
      </c>
      <c r="B24" s="1" t="s">
        <v>1286</v>
      </c>
      <c r="C24" t="str">
        <f>"2023/03/13"</f>
        <v>2023/03/13</v>
      </c>
      <c r="D24" s="4">
        <f t="shared" si="0"/>
        <v>44998</v>
      </c>
      <c r="E24" s="4">
        <f t="shared" si="1"/>
        <v>45364</v>
      </c>
      <c r="F24" t="str">
        <f>"2024/03/13"</f>
        <v>2024/03/13</v>
      </c>
      <c r="G24" s="1" t="s">
        <v>61</v>
      </c>
      <c r="H24">
        <v>2021</v>
      </c>
      <c r="I24" s="1" t="s">
        <v>13</v>
      </c>
      <c r="J24" s="1" t="s">
        <v>117</v>
      </c>
      <c r="K24" s="1" t="s">
        <v>1287</v>
      </c>
    </row>
    <row r="25" spans="1:12" x14ac:dyDescent="0.35">
      <c r="A25" t="s">
        <v>1470</v>
      </c>
      <c r="B25" s="1" t="s">
        <v>1471</v>
      </c>
      <c r="C25" t="str">
        <f>"2023/03/13"</f>
        <v>2023/03/13</v>
      </c>
      <c r="D25" s="4">
        <f t="shared" si="0"/>
        <v>44998</v>
      </c>
      <c r="E25" s="4">
        <f t="shared" si="1"/>
        <v>45504</v>
      </c>
      <c r="F25" t="str">
        <f>"2024/07/31"</f>
        <v>2024/07/31</v>
      </c>
      <c r="G25" s="1" t="s">
        <v>395</v>
      </c>
      <c r="H25">
        <v>2022</v>
      </c>
      <c r="I25" s="1" t="s">
        <v>124</v>
      </c>
      <c r="J25" s="1" t="s">
        <v>13</v>
      </c>
      <c r="K25" s="1" t="s">
        <v>1472</v>
      </c>
    </row>
    <row r="26" spans="1:12" x14ac:dyDescent="0.35">
      <c r="A26" t="s">
        <v>1467</v>
      </c>
      <c r="B26" s="1" t="s">
        <v>1468</v>
      </c>
      <c r="C26" t="str">
        <f>"2023/03/09"</f>
        <v>2023/03/09</v>
      </c>
      <c r="D26" s="4">
        <f t="shared" si="0"/>
        <v>44994</v>
      </c>
      <c r="E26" s="4">
        <f t="shared" si="1"/>
        <v>45262</v>
      </c>
      <c r="F26" t="str">
        <f>"2023/12/02"</f>
        <v>2023/12/02</v>
      </c>
      <c r="G26" s="1" t="s">
        <v>622</v>
      </c>
      <c r="H26">
        <v>2022</v>
      </c>
      <c r="I26" s="1" t="s">
        <v>13</v>
      </c>
      <c r="J26" s="1" t="s">
        <v>8</v>
      </c>
      <c r="K26" s="1" t="s">
        <v>1469</v>
      </c>
    </row>
    <row r="27" spans="1:12" x14ac:dyDescent="0.35">
      <c r="A27" t="s">
        <v>1588</v>
      </c>
      <c r="B27" s="1" t="s">
        <v>1589</v>
      </c>
      <c r="C27" t="str">
        <f>"2023/03/09"</f>
        <v>2023/03/09</v>
      </c>
      <c r="D27" s="4">
        <f t="shared" si="0"/>
        <v>44994</v>
      </c>
      <c r="E27" s="4">
        <f t="shared" si="1"/>
        <v>45352</v>
      </c>
      <c r="F27" t="str">
        <f>"2024/03/01"</f>
        <v>2024/03/01</v>
      </c>
      <c r="G27" s="1" t="s">
        <v>5</v>
      </c>
      <c r="H27">
        <v>2007</v>
      </c>
      <c r="I27" s="1" t="s">
        <v>13</v>
      </c>
      <c r="J27" s="1" t="s">
        <v>117</v>
      </c>
      <c r="K27" s="1" t="s">
        <v>825</v>
      </c>
    </row>
    <row r="28" spans="1:12" x14ac:dyDescent="0.35">
      <c r="A28" t="s">
        <v>1595</v>
      </c>
      <c r="B28" s="1" t="s">
        <v>1596</v>
      </c>
      <c r="C28" t="str">
        <f>"2023/03/09"</f>
        <v>2023/03/09</v>
      </c>
      <c r="D28" s="4">
        <f t="shared" si="0"/>
        <v>44994</v>
      </c>
      <c r="E28" s="4">
        <f t="shared" si="1"/>
        <v>45352</v>
      </c>
      <c r="F28" t="str">
        <f>"2024/03/01"</f>
        <v>2024/03/01</v>
      </c>
      <c r="G28" s="1" t="s">
        <v>61</v>
      </c>
      <c r="H28">
        <v>2020</v>
      </c>
      <c r="I28" s="1" t="s">
        <v>52</v>
      </c>
      <c r="J28" s="1" t="s">
        <v>124</v>
      </c>
      <c r="K28" s="1" t="s">
        <v>1597</v>
      </c>
    </row>
    <row r="29" spans="1:12" x14ac:dyDescent="0.35">
      <c r="A29" t="s">
        <v>66</v>
      </c>
      <c r="B29" s="1" t="s">
        <v>67</v>
      </c>
      <c r="C29" t="str">
        <f>"2023/03/06"</f>
        <v>2023/03/06</v>
      </c>
      <c r="D29" s="4">
        <f t="shared" si="0"/>
        <v>44991</v>
      </c>
      <c r="E29" s="4">
        <f t="shared" si="1"/>
        <v>50041</v>
      </c>
      <c r="F29" t="str">
        <f>"2037/01/01"</f>
        <v>2037/01/01</v>
      </c>
      <c r="G29" s="1" t="s">
        <v>36</v>
      </c>
      <c r="H29">
        <v>1927</v>
      </c>
      <c r="I29" s="1" t="s">
        <v>6</v>
      </c>
      <c r="J29" s="1" t="s">
        <v>13</v>
      </c>
      <c r="K29" s="1" t="s">
        <v>68</v>
      </c>
    </row>
    <row r="30" spans="1:12" ht="29" x14ac:dyDescent="0.35">
      <c r="A30" s="5" t="s">
        <v>1477</v>
      </c>
      <c r="B30" s="6" t="s">
        <v>1478</v>
      </c>
      <c r="C30" s="5" t="str">
        <f>"2023/03/02"</f>
        <v>2023/03/02</v>
      </c>
      <c r="D30" s="7">
        <f t="shared" si="0"/>
        <v>44987</v>
      </c>
      <c r="E30" s="7">
        <f t="shared" si="1"/>
        <v>45078</v>
      </c>
      <c r="F30" s="5" t="str">
        <f>"2023/06/01"</f>
        <v>2023/06/01</v>
      </c>
      <c r="G30" s="6" t="s">
        <v>5</v>
      </c>
      <c r="H30" s="5">
        <v>2020</v>
      </c>
      <c r="I30" s="6" t="s">
        <v>12</v>
      </c>
      <c r="J30" s="6" t="s">
        <v>13</v>
      </c>
      <c r="K30" s="6" t="s">
        <v>1479</v>
      </c>
      <c r="L30" s="6"/>
    </row>
    <row r="31" spans="1:12" x14ac:dyDescent="0.35">
      <c r="A31" t="s">
        <v>1057</v>
      </c>
      <c r="B31" s="1" t="s">
        <v>1058</v>
      </c>
      <c r="C31" t="str">
        <f>"2023/02/27"</f>
        <v>2023/02/27</v>
      </c>
      <c r="D31" s="4">
        <f t="shared" si="0"/>
        <v>44984</v>
      </c>
      <c r="E31" s="4">
        <f t="shared" si="1"/>
        <v>45323</v>
      </c>
      <c r="F31" t="str">
        <f>"2024/02/01"</f>
        <v>2024/02/01</v>
      </c>
      <c r="G31" s="1" t="s">
        <v>36</v>
      </c>
      <c r="H31">
        <v>2019</v>
      </c>
      <c r="I31" s="1" t="s">
        <v>13</v>
      </c>
      <c r="K31" s="1" t="s">
        <v>55</v>
      </c>
    </row>
    <row r="32" spans="1:12" x14ac:dyDescent="0.35">
      <c r="A32" t="s">
        <v>1396</v>
      </c>
      <c r="B32" s="1" t="s">
        <v>1397</v>
      </c>
      <c r="C32" t="str">
        <f>"2023/02/27"</f>
        <v>2023/02/27</v>
      </c>
      <c r="D32" s="4">
        <f t="shared" si="0"/>
        <v>44984</v>
      </c>
      <c r="E32" s="4">
        <f t="shared" si="1"/>
        <v>45323</v>
      </c>
      <c r="F32" t="str">
        <f>"2024/02/01"</f>
        <v>2024/02/01</v>
      </c>
      <c r="G32" s="1" t="s">
        <v>61</v>
      </c>
      <c r="H32">
        <v>2022</v>
      </c>
      <c r="I32" s="1" t="s">
        <v>13</v>
      </c>
      <c r="J32" s="1" t="s">
        <v>7</v>
      </c>
      <c r="K32" s="1" t="s">
        <v>1398</v>
      </c>
    </row>
    <row r="33" spans="1:12" x14ac:dyDescent="0.35">
      <c r="A33" t="s">
        <v>1215</v>
      </c>
      <c r="B33" s="1" t="s">
        <v>1216</v>
      </c>
      <c r="C33" t="str">
        <f>"2023/02/27"</f>
        <v>2023/02/27</v>
      </c>
      <c r="D33" s="4">
        <f t="shared" si="0"/>
        <v>44984</v>
      </c>
      <c r="E33" s="4">
        <f t="shared" si="1"/>
        <v>45349</v>
      </c>
      <c r="F33" t="str">
        <f>"2024/02/27"</f>
        <v>2024/02/27</v>
      </c>
      <c r="G33" s="1" t="s">
        <v>36</v>
      </c>
      <c r="H33">
        <v>2021</v>
      </c>
      <c r="I33" s="1" t="s">
        <v>12</v>
      </c>
      <c r="J33" s="1" t="s">
        <v>13</v>
      </c>
      <c r="K33" s="1" t="s">
        <v>1217</v>
      </c>
    </row>
    <row r="34" spans="1:12" x14ac:dyDescent="0.35">
      <c r="A34" t="s">
        <v>1240</v>
      </c>
      <c r="B34" s="1" t="s">
        <v>1241</v>
      </c>
      <c r="C34" t="str">
        <f>"2023/02/20"</f>
        <v>2023/02/20</v>
      </c>
      <c r="D34" s="4">
        <f t="shared" si="0"/>
        <v>44977</v>
      </c>
      <c r="E34" s="4">
        <f t="shared" si="1"/>
        <v>45323</v>
      </c>
      <c r="F34" t="str">
        <f>"2024/02/01"</f>
        <v>2024/02/01</v>
      </c>
      <c r="G34" s="1" t="s">
        <v>61</v>
      </c>
      <c r="H34">
        <v>2021</v>
      </c>
      <c r="I34" s="1" t="s">
        <v>13</v>
      </c>
      <c r="J34" s="1" t="s">
        <v>7</v>
      </c>
      <c r="K34" s="1" t="s">
        <v>1242</v>
      </c>
    </row>
    <row r="35" spans="1:12" x14ac:dyDescent="0.35">
      <c r="A35" t="s">
        <v>1542</v>
      </c>
      <c r="B35" s="1" t="s">
        <v>1543</v>
      </c>
      <c r="C35" t="str">
        <f>"2023/02/13"</f>
        <v>2023/02/13</v>
      </c>
      <c r="D35" s="4">
        <f t="shared" si="0"/>
        <v>44970</v>
      </c>
      <c r="E35" s="4">
        <f t="shared" si="1"/>
        <v>45293</v>
      </c>
      <c r="F35" t="str">
        <f>"2024/01/02"</f>
        <v>2024/01/02</v>
      </c>
      <c r="G35" s="1" t="s">
        <v>61</v>
      </c>
      <c r="H35">
        <v>1963</v>
      </c>
      <c r="I35" s="1" t="s">
        <v>83</v>
      </c>
      <c r="J35" s="1" t="s">
        <v>13</v>
      </c>
      <c r="K35" s="1" t="s">
        <v>1544</v>
      </c>
    </row>
    <row r="36" spans="1:12" x14ac:dyDescent="0.35">
      <c r="A36" s="9" t="s">
        <v>1070</v>
      </c>
      <c r="B36" s="12" t="s">
        <v>1071</v>
      </c>
      <c r="C36" s="9" t="str">
        <f>"2023/02/13"</f>
        <v>2023/02/13</v>
      </c>
      <c r="D36" s="11">
        <f t="shared" si="0"/>
        <v>44970</v>
      </c>
      <c r="E36" s="11">
        <f t="shared" si="1"/>
        <v>45323</v>
      </c>
      <c r="F36" s="9" t="str">
        <f>"2024/02/01"</f>
        <v>2024/02/01</v>
      </c>
      <c r="G36" s="10" t="s">
        <v>61</v>
      </c>
      <c r="H36" s="9">
        <v>2019</v>
      </c>
      <c r="I36" s="10" t="s">
        <v>13</v>
      </c>
      <c r="J36" s="10" t="s">
        <v>22</v>
      </c>
      <c r="K36" s="10" t="s">
        <v>1072</v>
      </c>
      <c r="L36" s="10"/>
    </row>
    <row r="37" spans="1:12" x14ac:dyDescent="0.35">
      <c r="A37" t="s">
        <v>1545</v>
      </c>
      <c r="B37" s="1" t="s">
        <v>1546</v>
      </c>
      <c r="C37" t="str">
        <f>"2023/02/06"</f>
        <v>2023/02/06</v>
      </c>
      <c r="D37" s="4">
        <f t="shared" si="0"/>
        <v>44963</v>
      </c>
      <c r="E37" s="4">
        <f t="shared" si="1"/>
        <v>45293</v>
      </c>
      <c r="F37" t="str">
        <f>"2024/01/02"</f>
        <v>2024/01/02</v>
      </c>
      <c r="G37" s="1" t="s">
        <v>36</v>
      </c>
      <c r="H37">
        <v>1969</v>
      </c>
      <c r="I37" s="1" t="s">
        <v>124</v>
      </c>
      <c r="J37" s="1" t="s">
        <v>22</v>
      </c>
      <c r="K37" s="1" t="s">
        <v>1547</v>
      </c>
    </row>
    <row r="38" spans="1:12" x14ac:dyDescent="0.35">
      <c r="A38" t="s">
        <v>1105</v>
      </c>
      <c r="B38" s="1" t="s">
        <v>1106</v>
      </c>
      <c r="C38" t="str">
        <f>"2023/02/06"</f>
        <v>2023/02/06</v>
      </c>
      <c r="D38" s="4">
        <f t="shared" si="0"/>
        <v>44963</v>
      </c>
      <c r="E38" s="4">
        <f t="shared" si="1"/>
        <v>45323</v>
      </c>
      <c r="F38" t="str">
        <f>"2024/02/01"</f>
        <v>2024/02/01</v>
      </c>
      <c r="G38" s="1" t="s">
        <v>289</v>
      </c>
      <c r="H38">
        <v>2020</v>
      </c>
      <c r="I38" s="1" t="s">
        <v>13</v>
      </c>
      <c r="K38" s="1" t="s">
        <v>1107</v>
      </c>
    </row>
    <row r="39" spans="1:12" x14ac:dyDescent="0.35">
      <c r="A39" s="5" t="s">
        <v>1411</v>
      </c>
      <c r="B39" s="6" t="s">
        <v>1412</v>
      </c>
      <c r="C39" s="5" t="str">
        <f>"2023/02/01"</f>
        <v>2023/02/01</v>
      </c>
      <c r="D39" s="7">
        <f t="shared" si="0"/>
        <v>44958</v>
      </c>
      <c r="E39" s="7">
        <f t="shared" si="1"/>
        <v>45078</v>
      </c>
      <c r="F39" s="5" t="str">
        <f>"2023/06/01"</f>
        <v>2023/06/01</v>
      </c>
      <c r="G39" s="6" t="s">
        <v>36</v>
      </c>
      <c r="H39" s="5">
        <v>2021</v>
      </c>
      <c r="I39" s="6" t="s">
        <v>12</v>
      </c>
      <c r="J39" s="6" t="s">
        <v>13</v>
      </c>
      <c r="K39" s="6" t="s">
        <v>1413</v>
      </c>
      <c r="L39" s="6"/>
    </row>
    <row r="40" spans="1:12" x14ac:dyDescent="0.35">
      <c r="A40" t="s">
        <v>1101</v>
      </c>
      <c r="B40" s="1" t="s">
        <v>1102</v>
      </c>
      <c r="C40" t="str">
        <f>"2023/02/01"</f>
        <v>2023/02/01</v>
      </c>
      <c r="D40" s="4">
        <f t="shared" si="0"/>
        <v>44958</v>
      </c>
      <c r="E40" s="4">
        <f t="shared" si="1"/>
        <v>45323</v>
      </c>
      <c r="F40" t="str">
        <f>"2024/02/01"</f>
        <v>2024/02/01</v>
      </c>
      <c r="G40" s="1" t="s">
        <v>1103</v>
      </c>
      <c r="H40">
        <v>2020</v>
      </c>
      <c r="I40" s="1" t="s">
        <v>13</v>
      </c>
      <c r="J40" s="1" t="s">
        <v>22</v>
      </c>
      <c r="K40" s="1" t="s">
        <v>1104</v>
      </c>
    </row>
    <row r="41" spans="1:12" x14ac:dyDescent="0.35">
      <c r="A41" t="s">
        <v>1503</v>
      </c>
      <c r="B41" s="1" t="s">
        <v>1504</v>
      </c>
      <c r="C41" t="str">
        <f>"2023/01/26"</f>
        <v>2023/01/26</v>
      </c>
      <c r="D41" s="4">
        <f t="shared" si="0"/>
        <v>44952</v>
      </c>
      <c r="E41" s="4">
        <f t="shared" si="1"/>
        <v>45292</v>
      </c>
      <c r="F41" t="str">
        <f>"2024/01/01"</f>
        <v>2024/01/01</v>
      </c>
      <c r="G41" s="1" t="s">
        <v>395</v>
      </c>
      <c r="H41">
        <v>1978</v>
      </c>
      <c r="I41" s="1" t="s">
        <v>52</v>
      </c>
      <c r="J41" s="1" t="s">
        <v>124</v>
      </c>
      <c r="K41" s="1" t="s">
        <v>1505</v>
      </c>
    </row>
    <row r="42" spans="1:12" ht="29" x14ac:dyDescent="0.35">
      <c r="A42" t="s">
        <v>1390</v>
      </c>
      <c r="B42" s="1" t="s">
        <v>1391</v>
      </c>
      <c r="C42" t="str">
        <f>"2023/01/26"</f>
        <v>2023/01/26</v>
      </c>
      <c r="D42" s="4">
        <f t="shared" si="0"/>
        <v>44952</v>
      </c>
      <c r="E42" s="4">
        <f t="shared" si="1"/>
        <v>45293</v>
      </c>
      <c r="F42" t="str">
        <f>"2024/01/02"</f>
        <v>2024/01/02</v>
      </c>
      <c r="G42" s="1" t="s">
        <v>395</v>
      </c>
      <c r="H42">
        <v>2020</v>
      </c>
      <c r="I42" s="1" t="s">
        <v>13</v>
      </c>
      <c r="J42" s="1" t="s">
        <v>50</v>
      </c>
      <c r="K42" s="1" t="s">
        <v>1392</v>
      </c>
    </row>
    <row r="43" spans="1:12" x14ac:dyDescent="0.35">
      <c r="A43" t="s">
        <v>1227</v>
      </c>
      <c r="B43" s="1" t="s">
        <v>1228</v>
      </c>
      <c r="C43" t="str">
        <f>"2023/01/23"</f>
        <v>2023/01/23</v>
      </c>
      <c r="D43" s="4">
        <f t="shared" si="0"/>
        <v>44949</v>
      </c>
      <c r="E43" s="4">
        <f t="shared" si="1"/>
        <v>45222</v>
      </c>
      <c r="F43" t="str">
        <f>"2023/10/23"</f>
        <v>2023/10/23</v>
      </c>
      <c r="G43" s="1" t="s">
        <v>61</v>
      </c>
      <c r="H43">
        <v>2021</v>
      </c>
      <c r="I43" s="1" t="s">
        <v>13</v>
      </c>
      <c r="J43" s="1" t="s">
        <v>8</v>
      </c>
      <c r="K43" s="1" t="s">
        <v>1229</v>
      </c>
    </row>
    <row r="44" spans="1:12" x14ac:dyDescent="0.35">
      <c r="A44" t="s">
        <v>311</v>
      </c>
      <c r="B44" s="1" t="s">
        <v>312</v>
      </c>
      <c r="C44" t="str">
        <f>"2023/01/23"</f>
        <v>2023/01/23</v>
      </c>
      <c r="D44" s="4">
        <f t="shared" si="0"/>
        <v>44949</v>
      </c>
      <c r="E44" s="4">
        <f t="shared" si="1"/>
        <v>45261</v>
      </c>
      <c r="F44" t="str">
        <f>"2023/12/01"</f>
        <v>2023/12/01</v>
      </c>
      <c r="G44" s="1" t="s">
        <v>5</v>
      </c>
      <c r="H44">
        <v>2012</v>
      </c>
      <c r="I44" s="1" t="s">
        <v>124</v>
      </c>
      <c r="J44" s="1" t="s">
        <v>13</v>
      </c>
      <c r="K44" s="1" t="s">
        <v>313</v>
      </c>
    </row>
    <row r="45" spans="1:12" x14ac:dyDescent="0.35">
      <c r="A45" t="s">
        <v>941</v>
      </c>
      <c r="B45" s="1" t="s">
        <v>942</v>
      </c>
      <c r="C45" t="str">
        <f>"2023/01/23"</f>
        <v>2023/01/23</v>
      </c>
      <c r="D45" s="4">
        <f t="shared" si="0"/>
        <v>44949</v>
      </c>
      <c r="E45" s="4">
        <f t="shared" si="1"/>
        <v>45292</v>
      </c>
      <c r="F45" t="str">
        <f>"2024/01/01"</f>
        <v>2024/01/01</v>
      </c>
      <c r="G45" s="1" t="s">
        <v>943</v>
      </c>
      <c r="H45">
        <v>2018</v>
      </c>
      <c r="I45" s="1" t="s">
        <v>124</v>
      </c>
      <c r="J45" s="1" t="s">
        <v>13</v>
      </c>
      <c r="K45" s="1" t="s">
        <v>944</v>
      </c>
    </row>
    <row r="46" spans="1:12" x14ac:dyDescent="0.35">
      <c r="A46" t="s">
        <v>1245</v>
      </c>
      <c r="B46" s="1" t="s">
        <v>1246</v>
      </c>
      <c r="C46" t="str">
        <f>"2023/01/23"</f>
        <v>2023/01/23</v>
      </c>
      <c r="D46" s="4">
        <f t="shared" si="0"/>
        <v>44949</v>
      </c>
      <c r="E46" s="4">
        <f t="shared" si="1"/>
        <v>45292</v>
      </c>
      <c r="F46" t="str">
        <f>"2024/01/01"</f>
        <v>2024/01/01</v>
      </c>
      <c r="G46" s="1" t="s">
        <v>36</v>
      </c>
      <c r="H46">
        <v>2020</v>
      </c>
      <c r="I46" s="1" t="s">
        <v>13</v>
      </c>
      <c r="K46" s="1" t="s">
        <v>1247</v>
      </c>
    </row>
    <row r="47" spans="1:12" x14ac:dyDescent="0.35">
      <c r="A47" t="s">
        <v>1488</v>
      </c>
      <c r="B47" s="1" t="s">
        <v>1489</v>
      </c>
      <c r="C47" t="str">
        <f t="shared" ref="C47:C57" si="2">"2023/01/19"</f>
        <v>2023/01/19</v>
      </c>
      <c r="D47" s="4">
        <f t="shared" si="0"/>
        <v>44945</v>
      </c>
      <c r="E47" s="4">
        <f t="shared" si="1"/>
        <v>45293</v>
      </c>
      <c r="F47" t="str">
        <f>"2024/01/02"</f>
        <v>2024/01/02</v>
      </c>
      <c r="G47" s="1" t="s">
        <v>395</v>
      </c>
      <c r="H47">
        <v>1977</v>
      </c>
      <c r="I47" s="1" t="s">
        <v>8</v>
      </c>
      <c r="J47" s="1" t="s">
        <v>37</v>
      </c>
      <c r="K47" s="1" t="s">
        <v>1490</v>
      </c>
    </row>
    <row r="48" spans="1:12" x14ac:dyDescent="0.35">
      <c r="A48" t="s">
        <v>1059</v>
      </c>
      <c r="B48" s="1" t="s">
        <v>1060</v>
      </c>
      <c r="C48" t="str">
        <f t="shared" si="2"/>
        <v>2023/01/19</v>
      </c>
      <c r="D48" s="4">
        <f t="shared" si="0"/>
        <v>44945</v>
      </c>
      <c r="E48" s="4">
        <f t="shared" si="1"/>
        <v>45294</v>
      </c>
      <c r="F48" t="str">
        <f>"2024/01/03"</f>
        <v>2024/01/03</v>
      </c>
      <c r="G48" s="1" t="s">
        <v>61</v>
      </c>
      <c r="H48">
        <v>2016</v>
      </c>
      <c r="I48" s="1" t="s">
        <v>31</v>
      </c>
      <c r="J48" s="1" t="s">
        <v>75</v>
      </c>
      <c r="K48" s="1" t="s">
        <v>1010</v>
      </c>
    </row>
    <row r="49" spans="1:11" x14ac:dyDescent="0.35">
      <c r="A49" t="s">
        <v>1061</v>
      </c>
      <c r="B49" s="1" t="s">
        <v>1062</v>
      </c>
      <c r="C49" t="str">
        <f t="shared" si="2"/>
        <v>2023/01/19</v>
      </c>
      <c r="D49" s="4">
        <f t="shared" si="0"/>
        <v>44945</v>
      </c>
      <c r="E49" s="4">
        <f t="shared" si="1"/>
        <v>45294</v>
      </c>
      <c r="F49" t="str">
        <f>"2024/01/03"</f>
        <v>2024/01/03</v>
      </c>
      <c r="G49" s="1" t="s">
        <v>61</v>
      </c>
      <c r="H49">
        <v>2018</v>
      </c>
      <c r="I49" s="1" t="s">
        <v>75</v>
      </c>
      <c r="K49" s="1" t="s">
        <v>1010</v>
      </c>
    </row>
    <row r="50" spans="1:11" x14ac:dyDescent="0.35">
      <c r="A50" t="s">
        <v>1065</v>
      </c>
      <c r="B50" s="1" t="s">
        <v>1066</v>
      </c>
      <c r="C50" t="str">
        <f t="shared" si="2"/>
        <v>2023/01/19</v>
      </c>
      <c r="D50" s="4">
        <f t="shared" si="0"/>
        <v>44945</v>
      </c>
      <c r="E50" s="4">
        <f t="shared" si="1"/>
        <v>45294</v>
      </c>
      <c r="F50" t="str">
        <f>"2024/01/03"</f>
        <v>2024/01/03</v>
      </c>
      <c r="G50" s="1" t="s">
        <v>61</v>
      </c>
      <c r="H50">
        <v>2019</v>
      </c>
      <c r="I50" s="1" t="s">
        <v>8</v>
      </c>
      <c r="J50" s="1" t="s">
        <v>75</v>
      </c>
      <c r="K50" s="1" t="s">
        <v>1010</v>
      </c>
    </row>
    <row r="51" spans="1:11" x14ac:dyDescent="0.35">
      <c r="A51" t="s">
        <v>1567</v>
      </c>
      <c r="B51" s="1" t="s">
        <v>1568</v>
      </c>
      <c r="C51" t="str">
        <f t="shared" si="2"/>
        <v>2023/01/19</v>
      </c>
      <c r="D51" s="4">
        <f t="shared" si="0"/>
        <v>44945</v>
      </c>
      <c r="E51" s="4">
        <f t="shared" si="1"/>
        <v>45310</v>
      </c>
      <c r="F51" t="str">
        <f>"2024/01/19"</f>
        <v>2024/01/19</v>
      </c>
      <c r="G51" s="1" t="s">
        <v>61</v>
      </c>
      <c r="H51">
        <v>1953</v>
      </c>
      <c r="I51" s="1" t="s">
        <v>31</v>
      </c>
      <c r="J51" s="1" t="s">
        <v>32</v>
      </c>
      <c r="K51" s="1" t="s">
        <v>1569</v>
      </c>
    </row>
    <row r="52" spans="1:11" x14ac:dyDescent="0.35">
      <c r="A52" t="s">
        <v>1570</v>
      </c>
      <c r="B52" s="1" t="s">
        <v>1571</v>
      </c>
      <c r="C52" t="str">
        <f t="shared" si="2"/>
        <v>2023/01/19</v>
      </c>
      <c r="D52" s="4">
        <f t="shared" si="0"/>
        <v>44945</v>
      </c>
      <c r="E52" s="4">
        <f t="shared" si="1"/>
        <v>45310</v>
      </c>
      <c r="F52" t="str">
        <f>"2024/01/19"</f>
        <v>2024/01/19</v>
      </c>
      <c r="G52" s="1" t="s">
        <v>61</v>
      </c>
      <c r="H52">
        <v>2016</v>
      </c>
      <c r="I52" s="1" t="s">
        <v>31</v>
      </c>
      <c r="J52" s="1" t="s">
        <v>75</v>
      </c>
      <c r="K52" s="1" t="s">
        <v>1010</v>
      </c>
    </row>
    <row r="53" spans="1:11" x14ac:dyDescent="0.35">
      <c r="A53" t="s">
        <v>1572</v>
      </c>
      <c r="B53" s="1" t="s">
        <v>1573</v>
      </c>
      <c r="C53" t="str">
        <f t="shared" si="2"/>
        <v>2023/01/19</v>
      </c>
      <c r="D53" s="4">
        <f t="shared" si="0"/>
        <v>44945</v>
      </c>
      <c r="E53" s="4">
        <f t="shared" si="1"/>
        <v>45310</v>
      </c>
      <c r="F53" t="str">
        <f>"2024/01/19"</f>
        <v>2024/01/19</v>
      </c>
      <c r="G53" s="1" t="s">
        <v>61</v>
      </c>
      <c r="H53">
        <v>2016</v>
      </c>
      <c r="I53" s="1" t="s">
        <v>31</v>
      </c>
      <c r="J53" s="1" t="s">
        <v>75</v>
      </c>
      <c r="K53" s="1" t="s">
        <v>1010</v>
      </c>
    </row>
    <row r="54" spans="1:11" x14ac:dyDescent="0.35">
      <c r="A54" t="s">
        <v>1574</v>
      </c>
      <c r="B54" s="1" t="s">
        <v>1575</v>
      </c>
      <c r="C54" t="str">
        <f t="shared" si="2"/>
        <v>2023/01/19</v>
      </c>
      <c r="D54" s="4">
        <f t="shared" si="0"/>
        <v>44945</v>
      </c>
      <c r="E54" s="4">
        <f t="shared" si="1"/>
        <v>45310</v>
      </c>
      <c r="F54" t="str">
        <f>"2024/01/19"</f>
        <v>2024/01/19</v>
      </c>
      <c r="G54" s="1" t="s">
        <v>61</v>
      </c>
      <c r="H54">
        <v>2022</v>
      </c>
      <c r="I54" s="1" t="s">
        <v>31</v>
      </c>
      <c r="J54" s="1" t="s">
        <v>75</v>
      </c>
      <c r="K54" s="1" t="s">
        <v>1010</v>
      </c>
    </row>
    <row r="55" spans="1:11" x14ac:dyDescent="0.35">
      <c r="A55" t="s">
        <v>1576</v>
      </c>
      <c r="B55" s="1" t="s">
        <v>1577</v>
      </c>
      <c r="C55" t="str">
        <f t="shared" si="2"/>
        <v>2023/01/19</v>
      </c>
      <c r="D55" s="4">
        <f t="shared" si="0"/>
        <v>44945</v>
      </c>
      <c r="E55" s="4">
        <f t="shared" si="1"/>
        <v>45310</v>
      </c>
      <c r="F55" t="str">
        <f>"2024/01/19"</f>
        <v>2024/01/19</v>
      </c>
      <c r="G55" s="1" t="s">
        <v>61</v>
      </c>
      <c r="H55">
        <v>2017</v>
      </c>
      <c r="I55" s="1" t="s">
        <v>31</v>
      </c>
      <c r="J55" s="1" t="s">
        <v>75</v>
      </c>
      <c r="K55" s="1" t="s">
        <v>1010</v>
      </c>
    </row>
    <row r="56" spans="1:11" x14ac:dyDescent="0.35">
      <c r="A56" t="s">
        <v>59</v>
      </c>
      <c r="B56" s="1" t="s">
        <v>60</v>
      </c>
      <c r="C56" t="str">
        <f t="shared" si="2"/>
        <v>2023/01/19</v>
      </c>
      <c r="D56" s="4">
        <f t="shared" si="0"/>
        <v>44945</v>
      </c>
      <c r="E56" s="4">
        <f t="shared" si="1"/>
        <v>47848</v>
      </c>
      <c r="F56" t="str">
        <f>"2030/12/31"</f>
        <v>2030/12/31</v>
      </c>
      <c r="G56" s="1" t="s">
        <v>61</v>
      </c>
      <c r="H56">
        <v>1975</v>
      </c>
      <c r="I56" s="1" t="s">
        <v>31</v>
      </c>
      <c r="K56" s="1" t="s">
        <v>62</v>
      </c>
    </row>
    <row r="57" spans="1:11" ht="29" x14ac:dyDescent="0.35">
      <c r="A57" t="s">
        <v>77</v>
      </c>
      <c r="B57" s="1" t="s">
        <v>78</v>
      </c>
      <c r="C57" t="str">
        <f t="shared" si="2"/>
        <v>2023/01/19</v>
      </c>
      <c r="D57" s="4">
        <f t="shared" si="0"/>
        <v>44945</v>
      </c>
      <c r="E57" s="4">
        <f t="shared" si="1"/>
        <v>48063</v>
      </c>
      <c r="F57" t="str">
        <f>"2031/08/03"</f>
        <v>2031/08/03</v>
      </c>
      <c r="G57" s="1" t="s">
        <v>61</v>
      </c>
      <c r="H57">
        <v>1984</v>
      </c>
      <c r="I57" s="1" t="s">
        <v>8</v>
      </c>
      <c r="J57" s="1" t="s">
        <v>79</v>
      </c>
      <c r="K57" s="1" t="s">
        <v>80</v>
      </c>
    </row>
    <row r="58" spans="1:11" x14ac:dyDescent="0.35">
      <c r="A58" t="s">
        <v>1548</v>
      </c>
      <c r="B58" s="1" t="s">
        <v>1549</v>
      </c>
      <c r="C58" t="str">
        <f>"2023/01/16"</f>
        <v>2023/01/16</v>
      </c>
      <c r="D58" s="4">
        <f t="shared" si="0"/>
        <v>44942</v>
      </c>
      <c r="E58" s="4">
        <f t="shared" si="1"/>
        <v>45293</v>
      </c>
      <c r="F58" t="str">
        <f>"2024/01/02"</f>
        <v>2024/01/02</v>
      </c>
      <c r="G58" s="1" t="s">
        <v>36</v>
      </c>
      <c r="H58">
        <v>1985</v>
      </c>
      <c r="I58" s="1" t="s">
        <v>13</v>
      </c>
      <c r="J58" s="1" t="s">
        <v>50</v>
      </c>
      <c r="K58" s="1" t="s">
        <v>1550</v>
      </c>
    </row>
    <row r="59" spans="1:11" x14ac:dyDescent="0.35">
      <c r="A59" t="s">
        <v>342</v>
      </c>
      <c r="B59" s="1" t="s">
        <v>343</v>
      </c>
      <c r="C59" t="str">
        <f t="shared" ref="C59:C72" si="3">"2023/01/13"</f>
        <v>2023/01/13</v>
      </c>
      <c r="D59" s="4">
        <f t="shared" si="0"/>
        <v>44939</v>
      </c>
      <c r="E59" s="4">
        <f t="shared" si="1"/>
        <v>48366</v>
      </c>
      <c r="F59" t="str">
        <f t="shared" ref="F59:F72" si="4">"2032/06/01"</f>
        <v>2032/06/01</v>
      </c>
      <c r="G59" s="1" t="s">
        <v>61</v>
      </c>
      <c r="H59">
        <v>1989</v>
      </c>
      <c r="I59" s="1" t="s">
        <v>31</v>
      </c>
      <c r="K59" s="1" t="s">
        <v>344</v>
      </c>
    </row>
    <row r="60" spans="1:11" x14ac:dyDescent="0.35">
      <c r="A60" t="s">
        <v>1163</v>
      </c>
      <c r="B60" s="1" t="s">
        <v>1164</v>
      </c>
      <c r="C60" t="str">
        <f t="shared" si="3"/>
        <v>2023/01/13</v>
      </c>
      <c r="D60" s="4">
        <f t="shared" si="0"/>
        <v>44939</v>
      </c>
      <c r="E60" s="4">
        <f t="shared" si="1"/>
        <v>48366</v>
      </c>
      <c r="F60" t="str">
        <f t="shared" si="4"/>
        <v>2032/06/01</v>
      </c>
      <c r="G60" s="1" t="s">
        <v>61</v>
      </c>
      <c r="H60">
        <v>1986</v>
      </c>
      <c r="I60" s="1" t="s">
        <v>31</v>
      </c>
      <c r="K60" s="1" t="s">
        <v>344</v>
      </c>
    </row>
    <row r="61" spans="1:11" x14ac:dyDescent="0.35">
      <c r="A61" t="s">
        <v>1165</v>
      </c>
      <c r="B61" s="1" t="s">
        <v>1166</v>
      </c>
      <c r="C61" t="str">
        <f t="shared" si="3"/>
        <v>2023/01/13</v>
      </c>
      <c r="D61" s="4">
        <f t="shared" si="0"/>
        <v>44939</v>
      </c>
      <c r="E61" s="4">
        <f t="shared" si="1"/>
        <v>48366</v>
      </c>
      <c r="F61" t="str">
        <f t="shared" si="4"/>
        <v>2032/06/01</v>
      </c>
      <c r="G61" s="1" t="s">
        <v>61</v>
      </c>
      <c r="H61">
        <v>1988</v>
      </c>
      <c r="I61" s="1" t="s">
        <v>31</v>
      </c>
      <c r="K61" s="1" t="s">
        <v>344</v>
      </c>
    </row>
    <row r="62" spans="1:11" x14ac:dyDescent="0.35">
      <c r="A62" t="s">
        <v>1167</v>
      </c>
      <c r="B62" s="1" t="s">
        <v>1168</v>
      </c>
      <c r="C62" t="str">
        <f t="shared" si="3"/>
        <v>2023/01/13</v>
      </c>
      <c r="D62" s="4">
        <f t="shared" si="0"/>
        <v>44939</v>
      </c>
      <c r="E62" s="4">
        <f t="shared" si="1"/>
        <v>48366</v>
      </c>
      <c r="F62" t="str">
        <f t="shared" si="4"/>
        <v>2032/06/01</v>
      </c>
      <c r="G62" s="1" t="s">
        <v>61</v>
      </c>
      <c r="H62">
        <v>1995</v>
      </c>
      <c r="I62" s="1" t="s">
        <v>31</v>
      </c>
      <c r="K62" s="1" t="s">
        <v>344</v>
      </c>
    </row>
    <row r="63" spans="1:11" x14ac:dyDescent="0.35">
      <c r="A63" t="s">
        <v>1167</v>
      </c>
      <c r="B63" s="1" t="s">
        <v>1169</v>
      </c>
      <c r="C63" t="str">
        <f t="shared" si="3"/>
        <v>2023/01/13</v>
      </c>
      <c r="D63" s="4">
        <f t="shared" si="0"/>
        <v>44939</v>
      </c>
      <c r="E63" s="4">
        <f t="shared" si="1"/>
        <v>48366</v>
      </c>
      <c r="F63" t="str">
        <f t="shared" si="4"/>
        <v>2032/06/01</v>
      </c>
      <c r="G63" s="1" t="s">
        <v>61</v>
      </c>
      <c r="H63">
        <v>1995</v>
      </c>
      <c r="I63" s="1" t="s">
        <v>31</v>
      </c>
      <c r="K63" s="1" t="s">
        <v>344</v>
      </c>
    </row>
    <row r="64" spans="1:11" ht="29" x14ac:dyDescent="0.35">
      <c r="A64" t="s">
        <v>1167</v>
      </c>
      <c r="B64" s="1" t="s">
        <v>1170</v>
      </c>
      <c r="C64" t="str">
        <f t="shared" si="3"/>
        <v>2023/01/13</v>
      </c>
      <c r="D64" s="4">
        <f t="shared" si="0"/>
        <v>44939</v>
      </c>
      <c r="E64" s="4">
        <f t="shared" si="1"/>
        <v>48366</v>
      </c>
      <c r="F64" t="str">
        <f t="shared" si="4"/>
        <v>2032/06/01</v>
      </c>
      <c r="G64" s="1" t="s">
        <v>61</v>
      </c>
      <c r="H64">
        <v>1995</v>
      </c>
      <c r="I64" s="1" t="s">
        <v>31</v>
      </c>
      <c r="K64" s="1" t="s">
        <v>344</v>
      </c>
    </row>
    <row r="65" spans="1:11" x14ac:dyDescent="0.35">
      <c r="A65" t="s">
        <v>1171</v>
      </c>
      <c r="B65" s="1" t="s">
        <v>1172</v>
      </c>
      <c r="C65" t="str">
        <f t="shared" si="3"/>
        <v>2023/01/13</v>
      </c>
      <c r="D65" s="4">
        <f t="shared" si="0"/>
        <v>44939</v>
      </c>
      <c r="E65" s="4">
        <f t="shared" si="1"/>
        <v>48366</v>
      </c>
      <c r="F65" t="str">
        <f t="shared" si="4"/>
        <v>2032/06/01</v>
      </c>
      <c r="G65" s="1" t="s">
        <v>61</v>
      </c>
      <c r="H65">
        <v>1993</v>
      </c>
      <c r="I65" s="1" t="s">
        <v>31</v>
      </c>
      <c r="K65" s="1" t="s">
        <v>344</v>
      </c>
    </row>
    <row r="66" spans="1:11" x14ac:dyDescent="0.35">
      <c r="A66" t="s">
        <v>1171</v>
      </c>
      <c r="B66" s="1" t="s">
        <v>1173</v>
      </c>
      <c r="C66" t="str">
        <f t="shared" si="3"/>
        <v>2023/01/13</v>
      </c>
      <c r="D66" s="4">
        <f t="shared" ref="D66:D129" si="5">DATEVALUE(C66)</f>
        <v>44939</v>
      </c>
      <c r="E66" s="4">
        <f t="shared" ref="E66:E129" si="6">DATEVALUE(F66)</f>
        <v>48366</v>
      </c>
      <c r="F66" t="str">
        <f t="shared" si="4"/>
        <v>2032/06/01</v>
      </c>
      <c r="G66" s="1" t="s">
        <v>61</v>
      </c>
      <c r="H66">
        <v>1993</v>
      </c>
      <c r="I66" s="1" t="s">
        <v>31</v>
      </c>
      <c r="K66" s="1" t="s">
        <v>344</v>
      </c>
    </row>
    <row r="67" spans="1:11" x14ac:dyDescent="0.35">
      <c r="A67" t="s">
        <v>1171</v>
      </c>
      <c r="B67" s="1" t="s">
        <v>1174</v>
      </c>
      <c r="C67" t="str">
        <f t="shared" si="3"/>
        <v>2023/01/13</v>
      </c>
      <c r="D67" s="4">
        <f t="shared" si="5"/>
        <v>44939</v>
      </c>
      <c r="E67" s="4">
        <f t="shared" si="6"/>
        <v>48366</v>
      </c>
      <c r="F67" t="str">
        <f t="shared" si="4"/>
        <v>2032/06/01</v>
      </c>
      <c r="G67" s="1" t="s">
        <v>61</v>
      </c>
      <c r="H67">
        <v>1993</v>
      </c>
      <c r="I67" s="1" t="s">
        <v>31</v>
      </c>
      <c r="K67" s="1" t="s">
        <v>344</v>
      </c>
    </row>
    <row r="68" spans="1:11" x14ac:dyDescent="0.35">
      <c r="A68" t="s">
        <v>1171</v>
      </c>
      <c r="B68" s="1" t="s">
        <v>1175</v>
      </c>
      <c r="C68" t="str">
        <f t="shared" si="3"/>
        <v>2023/01/13</v>
      </c>
      <c r="D68" s="4">
        <f t="shared" si="5"/>
        <v>44939</v>
      </c>
      <c r="E68" s="4">
        <f t="shared" si="6"/>
        <v>48366</v>
      </c>
      <c r="F68" t="str">
        <f t="shared" si="4"/>
        <v>2032/06/01</v>
      </c>
      <c r="G68" s="1" t="s">
        <v>61</v>
      </c>
      <c r="H68">
        <v>1993</v>
      </c>
      <c r="I68" s="1" t="s">
        <v>31</v>
      </c>
      <c r="K68" s="1" t="s">
        <v>344</v>
      </c>
    </row>
    <row r="69" spans="1:11" x14ac:dyDescent="0.35">
      <c r="A69" t="s">
        <v>1176</v>
      </c>
      <c r="B69" s="1" t="s">
        <v>1177</v>
      </c>
      <c r="C69" t="str">
        <f t="shared" si="3"/>
        <v>2023/01/13</v>
      </c>
      <c r="D69" s="4">
        <f t="shared" si="5"/>
        <v>44939</v>
      </c>
      <c r="E69" s="4">
        <f t="shared" si="6"/>
        <v>48366</v>
      </c>
      <c r="F69" t="str">
        <f t="shared" si="4"/>
        <v>2032/06/01</v>
      </c>
      <c r="G69" s="1" t="s">
        <v>61</v>
      </c>
      <c r="H69">
        <v>1999</v>
      </c>
      <c r="I69" s="1" t="s">
        <v>31</v>
      </c>
      <c r="J69" s="1" t="s">
        <v>32</v>
      </c>
      <c r="K69" s="1" t="s">
        <v>344</v>
      </c>
    </row>
    <row r="70" spans="1:11" x14ac:dyDescent="0.35">
      <c r="A70" t="s">
        <v>1178</v>
      </c>
      <c r="B70" s="1" t="s">
        <v>1179</v>
      </c>
      <c r="C70" t="str">
        <f t="shared" si="3"/>
        <v>2023/01/13</v>
      </c>
      <c r="D70" s="4">
        <f t="shared" si="5"/>
        <v>44939</v>
      </c>
      <c r="E70" s="4">
        <f t="shared" si="6"/>
        <v>48366</v>
      </c>
      <c r="F70" t="str">
        <f t="shared" si="4"/>
        <v>2032/06/01</v>
      </c>
      <c r="G70" s="1" t="s">
        <v>61</v>
      </c>
      <c r="H70">
        <v>2002</v>
      </c>
      <c r="I70" s="1" t="s">
        <v>31</v>
      </c>
      <c r="J70" s="1" t="s">
        <v>18</v>
      </c>
      <c r="K70" s="1" t="s">
        <v>344</v>
      </c>
    </row>
    <row r="71" spans="1:11" x14ac:dyDescent="0.35">
      <c r="A71" t="s">
        <v>1180</v>
      </c>
      <c r="B71" s="1" t="s">
        <v>1181</v>
      </c>
      <c r="C71" t="str">
        <f t="shared" si="3"/>
        <v>2023/01/13</v>
      </c>
      <c r="D71" s="4">
        <f t="shared" si="5"/>
        <v>44939</v>
      </c>
      <c r="E71" s="4">
        <f t="shared" si="6"/>
        <v>48366</v>
      </c>
      <c r="F71" t="str">
        <f t="shared" si="4"/>
        <v>2032/06/01</v>
      </c>
      <c r="G71" s="1" t="s">
        <v>61</v>
      </c>
      <c r="H71">
        <v>2007</v>
      </c>
      <c r="I71" s="1" t="s">
        <v>31</v>
      </c>
      <c r="K71" s="1" t="s">
        <v>344</v>
      </c>
    </row>
    <row r="72" spans="1:11" x14ac:dyDescent="0.35">
      <c r="A72" t="s">
        <v>1449</v>
      </c>
      <c r="B72" s="1" t="s">
        <v>1450</v>
      </c>
      <c r="C72" t="str">
        <f t="shared" si="3"/>
        <v>2023/01/13</v>
      </c>
      <c r="D72" s="4">
        <f t="shared" si="5"/>
        <v>44939</v>
      </c>
      <c r="E72" s="4">
        <f t="shared" si="6"/>
        <v>48366</v>
      </c>
      <c r="F72" t="str">
        <f t="shared" si="4"/>
        <v>2032/06/01</v>
      </c>
      <c r="G72" s="1" t="s">
        <v>61</v>
      </c>
      <c r="H72">
        <v>1981</v>
      </c>
      <c r="I72" s="1" t="s">
        <v>31</v>
      </c>
      <c r="J72" s="1" t="s">
        <v>32</v>
      </c>
      <c r="K72" s="1" t="s">
        <v>344</v>
      </c>
    </row>
    <row r="73" spans="1:11" x14ac:dyDescent="0.35">
      <c r="A73" t="s">
        <v>1564</v>
      </c>
      <c r="B73" s="1" t="s">
        <v>1565</v>
      </c>
      <c r="C73" t="str">
        <f>"2023/01/12"</f>
        <v>2023/01/12</v>
      </c>
      <c r="D73" s="4">
        <f t="shared" si="5"/>
        <v>44938</v>
      </c>
      <c r="E73" s="4">
        <f t="shared" si="6"/>
        <v>45394</v>
      </c>
      <c r="F73" t="str">
        <f>"2024/04/12"</f>
        <v>2024/04/12</v>
      </c>
      <c r="G73" s="1" t="s">
        <v>622</v>
      </c>
      <c r="H73">
        <v>2021</v>
      </c>
      <c r="I73" s="1" t="s">
        <v>13</v>
      </c>
      <c r="J73" s="1" t="s">
        <v>22</v>
      </c>
      <c r="K73" s="1" t="s">
        <v>1566</v>
      </c>
    </row>
    <row r="74" spans="1:11" x14ac:dyDescent="0.35">
      <c r="A74" t="s">
        <v>1538</v>
      </c>
      <c r="B74" s="1" t="s">
        <v>1539</v>
      </c>
      <c r="C74" t="str">
        <f>"2023/01/09"</f>
        <v>2023/01/09</v>
      </c>
      <c r="D74" s="4">
        <f t="shared" si="5"/>
        <v>44935</v>
      </c>
      <c r="E74" s="4">
        <f t="shared" si="6"/>
        <v>45261</v>
      </c>
      <c r="F74" t="str">
        <f>"2023/12/01"</f>
        <v>2023/12/01</v>
      </c>
      <c r="G74" s="1" t="s">
        <v>5</v>
      </c>
      <c r="H74">
        <v>2000</v>
      </c>
      <c r="I74" s="1" t="s">
        <v>31</v>
      </c>
      <c r="K74" s="1" t="s">
        <v>954</v>
      </c>
    </row>
    <row r="75" spans="1:11" x14ac:dyDescent="0.35">
      <c r="A75" t="s">
        <v>1500</v>
      </c>
      <c r="B75" s="1" t="s">
        <v>1501</v>
      </c>
      <c r="C75" t="str">
        <f>"2023/01/09"</f>
        <v>2023/01/09</v>
      </c>
      <c r="D75" s="4">
        <f t="shared" si="5"/>
        <v>44935</v>
      </c>
      <c r="E75" s="4">
        <f t="shared" si="6"/>
        <v>45292</v>
      </c>
      <c r="F75" t="str">
        <f>"2024/01/01"</f>
        <v>2024/01/01</v>
      </c>
      <c r="G75" s="1" t="s">
        <v>61</v>
      </c>
      <c r="H75">
        <v>1997</v>
      </c>
      <c r="I75" s="1" t="s">
        <v>13</v>
      </c>
      <c r="K75" s="1" t="s">
        <v>1502</v>
      </c>
    </row>
    <row r="76" spans="1:11" ht="29" x14ac:dyDescent="0.35">
      <c r="A76" t="s">
        <v>1414</v>
      </c>
      <c r="B76" s="1" t="s">
        <v>1415</v>
      </c>
      <c r="C76" t="str">
        <f>"2023/01/09"</f>
        <v>2023/01/09</v>
      </c>
      <c r="D76" s="4">
        <f t="shared" si="5"/>
        <v>44935</v>
      </c>
      <c r="E76" s="4">
        <f t="shared" si="6"/>
        <v>48366</v>
      </c>
      <c r="F76" t="str">
        <f>"2032/06/01"</f>
        <v>2032/06/01</v>
      </c>
      <c r="G76" s="1" t="s">
        <v>61</v>
      </c>
      <c r="H76">
        <v>2018</v>
      </c>
      <c r="I76" s="1" t="s">
        <v>52</v>
      </c>
      <c r="J76" s="1" t="s">
        <v>31</v>
      </c>
      <c r="K76" s="1" t="s">
        <v>344</v>
      </c>
    </row>
    <row r="77" spans="1:11" x14ac:dyDescent="0.35">
      <c r="A77" t="s">
        <v>609</v>
      </c>
      <c r="B77" s="1" t="s">
        <v>610</v>
      </c>
      <c r="C77" t="str">
        <f>"2023/01/05"</f>
        <v>2023/01/05</v>
      </c>
      <c r="D77" s="4">
        <f t="shared" si="5"/>
        <v>44931</v>
      </c>
      <c r="E77" s="4">
        <f t="shared" si="6"/>
        <v>45292</v>
      </c>
      <c r="F77" t="str">
        <f>"2024/01/01"</f>
        <v>2024/01/01</v>
      </c>
      <c r="G77" s="1" t="s">
        <v>61</v>
      </c>
      <c r="H77">
        <v>2016</v>
      </c>
      <c r="I77" s="1" t="s">
        <v>13</v>
      </c>
      <c r="K77" s="1" t="s">
        <v>611</v>
      </c>
    </row>
    <row r="78" spans="1:11" x14ac:dyDescent="0.35">
      <c r="A78" t="s">
        <v>1464</v>
      </c>
      <c r="B78" s="1" t="s">
        <v>1465</v>
      </c>
      <c r="C78" t="str">
        <f>"2023/01/05"</f>
        <v>2023/01/05</v>
      </c>
      <c r="D78" s="4">
        <f t="shared" si="5"/>
        <v>44931</v>
      </c>
      <c r="E78" s="4">
        <f t="shared" si="6"/>
        <v>45292</v>
      </c>
      <c r="F78" t="str">
        <f>"2024/01/01"</f>
        <v>2024/01/01</v>
      </c>
      <c r="G78" s="1" t="s">
        <v>36</v>
      </c>
      <c r="H78">
        <v>1997</v>
      </c>
      <c r="I78" s="1" t="s">
        <v>83</v>
      </c>
      <c r="J78" s="1" t="s">
        <v>13</v>
      </c>
      <c r="K78" s="1" t="s">
        <v>1466</v>
      </c>
    </row>
    <row r="79" spans="1:11" x14ac:dyDescent="0.35">
      <c r="A79" t="s">
        <v>1540</v>
      </c>
      <c r="B79" s="1" t="s">
        <v>1541</v>
      </c>
      <c r="C79" t="str">
        <f>"2023/01/05"</f>
        <v>2023/01/05</v>
      </c>
      <c r="D79" s="4">
        <f t="shared" si="5"/>
        <v>44931</v>
      </c>
      <c r="E79" s="4">
        <f t="shared" si="6"/>
        <v>45293</v>
      </c>
      <c r="F79" t="str">
        <f>"2024/01/02"</f>
        <v>2024/01/02</v>
      </c>
      <c r="G79" s="1" t="s">
        <v>5</v>
      </c>
      <c r="H79">
        <v>2001</v>
      </c>
      <c r="I79" s="1" t="s">
        <v>13</v>
      </c>
      <c r="K79" s="1" t="s">
        <v>1025</v>
      </c>
    </row>
    <row r="80" spans="1:11" x14ac:dyDescent="0.35">
      <c r="A80" t="s">
        <v>1372</v>
      </c>
      <c r="B80" s="1" t="s">
        <v>1373</v>
      </c>
      <c r="C80" t="str">
        <f>"2023/01/05"</f>
        <v>2023/01/05</v>
      </c>
      <c r="D80" s="4">
        <f t="shared" si="5"/>
        <v>44931</v>
      </c>
      <c r="E80" s="4">
        <f t="shared" si="6"/>
        <v>45566</v>
      </c>
      <c r="F80" t="str">
        <f>"2024/10/01"</f>
        <v>2024/10/01</v>
      </c>
      <c r="G80" s="1" t="s">
        <v>587</v>
      </c>
      <c r="H80">
        <v>2021</v>
      </c>
      <c r="I80" s="1" t="s">
        <v>13</v>
      </c>
      <c r="K80" s="1" t="s">
        <v>1374</v>
      </c>
    </row>
    <row r="81" spans="1:12" x14ac:dyDescent="0.35">
      <c r="A81" t="s">
        <v>432</v>
      </c>
      <c r="B81" s="1" t="s">
        <v>433</v>
      </c>
      <c r="C81" t="str">
        <f t="shared" ref="C81:C86" si="7">"2023/01/02"</f>
        <v>2023/01/02</v>
      </c>
      <c r="D81" s="4">
        <f t="shared" si="5"/>
        <v>44928</v>
      </c>
      <c r="E81" s="4">
        <f t="shared" si="6"/>
        <v>45351</v>
      </c>
      <c r="F81" t="str">
        <f t="shared" ref="F81:F86" si="8">"2024/02/29"</f>
        <v>2024/02/29</v>
      </c>
      <c r="G81" s="1" t="s">
        <v>27</v>
      </c>
      <c r="H81">
        <v>1957</v>
      </c>
      <c r="I81" s="1" t="s">
        <v>13</v>
      </c>
      <c r="K81" s="1" t="s">
        <v>42</v>
      </c>
    </row>
    <row r="82" spans="1:12" ht="29" x14ac:dyDescent="0.35">
      <c r="A82" t="s">
        <v>444</v>
      </c>
      <c r="B82" s="1" t="s">
        <v>445</v>
      </c>
      <c r="C82" t="str">
        <f t="shared" si="7"/>
        <v>2023/01/02</v>
      </c>
      <c r="D82" s="4">
        <f t="shared" si="5"/>
        <v>44928</v>
      </c>
      <c r="E82" s="4">
        <f t="shared" si="6"/>
        <v>45351</v>
      </c>
      <c r="F82" t="str">
        <f t="shared" si="8"/>
        <v>2024/02/29</v>
      </c>
      <c r="G82" s="1" t="s">
        <v>27</v>
      </c>
      <c r="H82">
        <v>1952</v>
      </c>
      <c r="I82" s="1" t="s">
        <v>6</v>
      </c>
      <c r="J82" s="1" t="s">
        <v>124</v>
      </c>
      <c r="K82" s="1" t="s">
        <v>42</v>
      </c>
    </row>
    <row r="83" spans="1:12" x14ac:dyDescent="0.35">
      <c r="A83" t="s">
        <v>446</v>
      </c>
      <c r="B83" s="1" t="s">
        <v>447</v>
      </c>
      <c r="C83" t="str">
        <f t="shared" si="7"/>
        <v>2023/01/02</v>
      </c>
      <c r="D83" s="4">
        <f t="shared" si="5"/>
        <v>44928</v>
      </c>
      <c r="E83" s="4">
        <f t="shared" si="6"/>
        <v>45351</v>
      </c>
      <c r="F83" t="str">
        <f t="shared" si="8"/>
        <v>2024/02/29</v>
      </c>
      <c r="G83" s="1" t="s">
        <v>27</v>
      </c>
      <c r="H83">
        <v>1944</v>
      </c>
      <c r="I83" s="1" t="s">
        <v>222</v>
      </c>
      <c r="K83" s="1" t="s">
        <v>42</v>
      </c>
    </row>
    <row r="84" spans="1:12" x14ac:dyDescent="0.35">
      <c r="A84" t="s">
        <v>457</v>
      </c>
      <c r="B84" s="1" t="s">
        <v>458</v>
      </c>
      <c r="C84" t="str">
        <f t="shared" si="7"/>
        <v>2023/01/02</v>
      </c>
      <c r="D84" s="4">
        <f t="shared" si="5"/>
        <v>44928</v>
      </c>
      <c r="E84" s="4">
        <f t="shared" si="6"/>
        <v>45351</v>
      </c>
      <c r="F84" t="str">
        <f t="shared" si="8"/>
        <v>2024/02/29</v>
      </c>
      <c r="G84" s="1" t="s">
        <v>27</v>
      </c>
      <c r="H84">
        <v>1946</v>
      </c>
      <c r="I84" s="1" t="s">
        <v>13</v>
      </c>
      <c r="K84" s="1" t="s">
        <v>42</v>
      </c>
    </row>
    <row r="85" spans="1:12" x14ac:dyDescent="0.35">
      <c r="A85" t="s">
        <v>461</v>
      </c>
      <c r="B85" s="1" t="s">
        <v>462</v>
      </c>
      <c r="C85" t="str">
        <f t="shared" si="7"/>
        <v>2023/01/02</v>
      </c>
      <c r="D85" s="4">
        <f t="shared" si="5"/>
        <v>44928</v>
      </c>
      <c r="E85" s="4">
        <f t="shared" si="6"/>
        <v>45351</v>
      </c>
      <c r="F85" t="str">
        <f t="shared" si="8"/>
        <v>2024/02/29</v>
      </c>
      <c r="G85" s="1" t="s">
        <v>27</v>
      </c>
      <c r="H85">
        <v>1947</v>
      </c>
      <c r="I85" s="1" t="s">
        <v>13</v>
      </c>
      <c r="K85" s="1" t="s">
        <v>42</v>
      </c>
    </row>
    <row r="86" spans="1:12" x14ac:dyDescent="0.35">
      <c r="A86" t="s">
        <v>476</v>
      </c>
      <c r="B86" s="1" t="s">
        <v>477</v>
      </c>
      <c r="C86" t="str">
        <f t="shared" si="7"/>
        <v>2023/01/02</v>
      </c>
      <c r="D86" s="4">
        <f t="shared" si="5"/>
        <v>44928</v>
      </c>
      <c r="E86" s="4">
        <f t="shared" si="6"/>
        <v>45351</v>
      </c>
      <c r="F86" t="str">
        <f t="shared" si="8"/>
        <v>2024/02/29</v>
      </c>
      <c r="G86" s="1" t="s">
        <v>27</v>
      </c>
      <c r="H86">
        <v>1945</v>
      </c>
      <c r="I86" s="1" t="s">
        <v>124</v>
      </c>
      <c r="K86" s="1" t="s">
        <v>42</v>
      </c>
    </row>
    <row r="87" spans="1:12" x14ac:dyDescent="0.35">
      <c r="A87" t="s">
        <v>1535</v>
      </c>
      <c r="B87" s="1" t="s">
        <v>1536</v>
      </c>
      <c r="C87" t="str">
        <f>"2022/12/29"</f>
        <v>2022/12/29</v>
      </c>
      <c r="D87" s="4">
        <f t="shared" si="5"/>
        <v>44924</v>
      </c>
      <c r="E87" s="4">
        <f t="shared" si="6"/>
        <v>45261</v>
      </c>
      <c r="F87" t="str">
        <f>"2023/12/01"</f>
        <v>2023/12/01</v>
      </c>
      <c r="G87" s="1" t="s">
        <v>587</v>
      </c>
      <c r="H87">
        <v>2016</v>
      </c>
      <c r="I87" s="1" t="s">
        <v>7</v>
      </c>
      <c r="J87" s="1" t="s">
        <v>8</v>
      </c>
      <c r="K87" s="1" t="s">
        <v>1537</v>
      </c>
    </row>
    <row r="88" spans="1:12" x14ac:dyDescent="0.35">
      <c r="A88" s="5" t="s">
        <v>1512</v>
      </c>
      <c r="B88" s="6" t="s">
        <v>1513</v>
      </c>
      <c r="C88" s="5" t="str">
        <f>"2022/12/19"</f>
        <v>2022/12/19</v>
      </c>
      <c r="D88" s="7">
        <f t="shared" si="5"/>
        <v>44914</v>
      </c>
      <c r="E88" s="7">
        <f t="shared" si="6"/>
        <v>45200</v>
      </c>
      <c r="F88" s="5" t="str">
        <f>"2023/10/01"</f>
        <v>2023/10/01</v>
      </c>
      <c r="G88" s="6" t="s">
        <v>87</v>
      </c>
      <c r="H88" s="5">
        <v>1924</v>
      </c>
      <c r="I88" s="6" t="s">
        <v>7</v>
      </c>
      <c r="J88" s="6" t="s">
        <v>8</v>
      </c>
      <c r="K88" s="6" t="s">
        <v>1514</v>
      </c>
      <c r="L88" s="6"/>
    </row>
    <row r="89" spans="1:12" x14ac:dyDescent="0.35">
      <c r="A89" t="s">
        <v>1182</v>
      </c>
      <c r="B89" s="1" t="s">
        <v>1183</v>
      </c>
      <c r="C89" t="str">
        <f>"2022/12/19"</f>
        <v>2022/12/19</v>
      </c>
      <c r="D89" s="4">
        <f t="shared" si="5"/>
        <v>44914</v>
      </c>
      <c r="E89" s="4">
        <f t="shared" si="6"/>
        <v>45260</v>
      </c>
      <c r="F89" t="str">
        <f>"2023/11/30"</f>
        <v>2023/11/30</v>
      </c>
      <c r="G89" s="1" t="s">
        <v>1184</v>
      </c>
      <c r="H89">
        <v>2021</v>
      </c>
      <c r="I89" s="1" t="s">
        <v>13</v>
      </c>
      <c r="J89" s="1" t="s">
        <v>117</v>
      </c>
      <c r="K89" s="1" t="s">
        <v>1185</v>
      </c>
    </row>
    <row r="90" spans="1:12" ht="29" x14ac:dyDescent="0.35">
      <c r="A90" t="s">
        <v>544</v>
      </c>
      <c r="B90" s="1" t="s">
        <v>545</v>
      </c>
      <c r="C90" t="str">
        <f>"2022/12/19"</f>
        <v>2022/12/19</v>
      </c>
      <c r="D90" s="4">
        <f t="shared" si="5"/>
        <v>44914</v>
      </c>
      <c r="E90" s="4">
        <f t="shared" si="6"/>
        <v>45261</v>
      </c>
      <c r="F90" t="str">
        <f>"2023/12/01"</f>
        <v>2023/12/01</v>
      </c>
      <c r="G90" s="1" t="s">
        <v>61</v>
      </c>
      <c r="H90">
        <v>1919</v>
      </c>
      <c r="I90" s="1" t="s">
        <v>83</v>
      </c>
      <c r="J90" s="1" t="s">
        <v>31</v>
      </c>
      <c r="K90" s="1" t="s">
        <v>546</v>
      </c>
    </row>
    <row r="91" spans="1:12" x14ac:dyDescent="0.35">
      <c r="A91" t="s">
        <v>1560</v>
      </c>
      <c r="B91" s="1" t="s">
        <v>1561</v>
      </c>
      <c r="C91" t="str">
        <f>"2022/12/14"</f>
        <v>2022/12/14</v>
      </c>
      <c r="D91" s="4">
        <f t="shared" si="5"/>
        <v>44909</v>
      </c>
      <c r="E91" s="4">
        <f t="shared" si="6"/>
        <v>45261</v>
      </c>
      <c r="F91" t="str">
        <f>"2023/12/01"</f>
        <v>2023/12/01</v>
      </c>
      <c r="G91" s="1" t="s">
        <v>799</v>
      </c>
      <c r="H91">
        <v>1994</v>
      </c>
      <c r="I91" s="1" t="s">
        <v>13</v>
      </c>
      <c r="J91" s="1" t="s">
        <v>18</v>
      </c>
      <c r="K91" s="1" t="s">
        <v>1562</v>
      </c>
    </row>
    <row r="92" spans="1:12" x14ac:dyDescent="0.35">
      <c r="A92" t="s">
        <v>1560</v>
      </c>
      <c r="B92" s="1" t="s">
        <v>1563</v>
      </c>
      <c r="C92" t="str">
        <f>"2022/12/14"</f>
        <v>2022/12/14</v>
      </c>
      <c r="D92" s="4">
        <f t="shared" si="5"/>
        <v>44909</v>
      </c>
      <c r="E92" s="4">
        <f t="shared" si="6"/>
        <v>45261</v>
      </c>
      <c r="F92" t="str">
        <f>"2023/12/01"</f>
        <v>2023/12/01</v>
      </c>
      <c r="G92" s="1" t="s">
        <v>799</v>
      </c>
      <c r="H92">
        <v>1994</v>
      </c>
      <c r="I92" s="1" t="s">
        <v>13</v>
      </c>
      <c r="J92" s="1" t="s">
        <v>18</v>
      </c>
      <c r="K92" s="1" t="s">
        <v>1562</v>
      </c>
    </row>
    <row r="93" spans="1:12" x14ac:dyDescent="0.35">
      <c r="A93" t="s">
        <v>1510</v>
      </c>
      <c r="B93" s="1" t="s">
        <v>1511</v>
      </c>
      <c r="C93" t="str">
        <f>"2022/12/12"</f>
        <v>2022/12/12</v>
      </c>
      <c r="D93" s="4">
        <f t="shared" si="5"/>
        <v>44907</v>
      </c>
      <c r="E93" s="4">
        <f t="shared" si="6"/>
        <v>45231</v>
      </c>
      <c r="F93" t="str">
        <f>"2023/11/01"</f>
        <v>2023/11/01</v>
      </c>
      <c r="G93" s="1" t="s">
        <v>45</v>
      </c>
      <c r="H93">
        <v>1968</v>
      </c>
      <c r="I93" s="1" t="s">
        <v>41</v>
      </c>
      <c r="J93" s="1" t="s">
        <v>13</v>
      </c>
      <c r="K93" s="1" t="s">
        <v>863</v>
      </c>
    </row>
    <row r="94" spans="1:12" ht="29" x14ac:dyDescent="0.35">
      <c r="A94" t="s">
        <v>1482</v>
      </c>
      <c r="B94" s="1" t="s">
        <v>1483</v>
      </c>
      <c r="C94" t="str">
        <f>"2022/12/12"</f>
        <v>2022/12/12</v>
      </c>
      <c r="D94" s="4">
        <f t="shared" si="5"/>
        <v>44907</v>
      </c>
      <c r="E94" s="4">
        <f t="shared" si="6"/>
        <v>45260</v>
      </c>
      <c r="F94" t="str">
        <f>"2023/11/30"</f>
        <v>2023/11/30</v>
      </c>
      <c r="G94" s="1" t="s">
        <v>49</v>
      </c>
      <c r="H94">
        <v>1922</v>
      </c>
      <c r="I94" s="1" t="s">
        <v>31</v>
      </c>
      <c r="J94" s="1" t="s">
        <v>7</v>
      </c>
      <c r="K94" s="1" t="s">
        <v>1484</v>
      </c>
    </row>
    <row r="95" spans="1:12" x14ac:dyDescent="0.35">
      <c r="A95" t="s">
        <v>762</v>
      </c>
      <c r="B95" s="1" t="s">
        <v>763</v>
      </c>
      <c r="C95" t="str">
        <f>"2022/12/12"</f>
        <v>2022/12/12</v>
      </c>
      <c r="D95" s="4">
        <f t="shared" si="5"/>
        <v>44907</v>
      </c>
      <c r="E95" s="4">
        <f t="shared" si="6"/>
        <v>45261</v>
      </c>
      <c r="F95" t="str">
        <f>"2023/12/01"</f>
        <v>2023/12/01</v>
      </c>
      <c r="G95" s="1" t="s">
        <v>61</v>
      </c>
      <c r="H95">
        <v>2018</v>
      </c>
      <c r="I95" s="1" t="s">
        <v>124</v>
      </c>
      <c r="J95" s="1" t="s">
        <v>13</v>
      </c>
      <c r="K95" s="1" t="s">
        <v>764</v>
      </c>
    </row>
    <row r="96" spans="1:12" x14ac:dyDescent="0.35">
      <c r="A96" s="5" t="s">
        <v>1553</v>
      </c>
      <c r="B96" s="6" t="s">
        <v>1554</v>
      </c>
      <c r="C96" s="5" t="str">
        <f>"2022/12/08"</f>
        <v>2022/12/08</v>
      </c>
      <c r="D96" s="7">
        <f t="shared" si="5"/>
        <v>44903</v>
      </c>
      <c r="E96" s="7">
        <f t="shared" si="6"/>
        <v>45077</v>
      </c>
      <c r="F96" s="5" t="str">
        <f>"2023/05/31"</f>
        <v>2023/05/31</v>
      </c>
      <c r="G96" s="6" t="s">
        <v>5</v>
      </c>
      <c r="H96" s="5">
        <v>1976</v>
      </c>
      <c r="I96" s="6" t="s">
        <v>31</v>
      </c>
      <c r="J96" s="6"/>
      <c r="K96" s="6" t="s">
        <v>1555</v>
      </c>
      <c r="L96" s="6"/>
    </row>
    <row r="97" spans="1:12" ht="29" x14ac:dyDescent="0.35">
      <c r="A97" t="s">
        <v>1519</v>
      </c>
      <c r="B97" s="1" t="s">
        <v>1520</v>
      </c>
      <c r="C97" t="str">
        <f>"2022/12/08"</f>
        <v>2022/12/08</v>
      </c>
      <c r="D97" s="4">
        <f t="shared" si="5"/>
        <v>44903</v>
      </c>
      <c r="E97" s="4">
        <f t="shared" si="6"/>
        <v>45261</v>
      </c>
      <c r="F97" t="str">
        <f>"2023/12/01"</f>
        <v>2023/12/01</v>
      </c>
      <c r="G97" s="1" t="s">
        <v>277</v>
      </c>
      <c r="H97">
        <v>2017</v>
      </c>
      <c r="I97" s="1" t="s">
        <v>52</v>
      </c>
      <c r="J97" s="1" t="s">
        <v>31</v>
      </c>
      <c r="K97" s="1" t="s">
        <v>1521</v>
      </c>
    </row>
    <row r="98" spans="1:12" x14ac:dyDescent="0.35">
      <c r="A98" s="5" t="s">
        <v>1491</v>
      </c>
      <c r="B98" s="6" t="s">
        <v>1492</v>
      </c>
      <c r="C98" s="5" t="str">
        <f>"2022/12/05"</f>
        <v>2022/12/05</v>
      </c>
      <c r="D98" s="7">
        <f t="shared" si="5"/>
        <v>44900</v>
      </c>
      <c r="E98" s="7">
        <f t="shared" si="6"/>
        <v>45111</v>
      </c>
      <c r="F98" s="5" t="str">
        <f>"2023/07/04"</f>
        <v>2023/07/04</v>
      </c>
      <c r="G98" s="6" t="s">
        <v>61</v>
      </c>
      <c r="H98" s="5">
        <v>2021</v>
      </c>
      <c r="I98" s="6" t="s">
        <v>13</v>
      </c>
      <c r="J98" s="6" t="s">
        <v>7</v>
      </c>
      <c r="K98" s="6" t="s">
        <v>558</v>
      </c>
      <c r="L98" s="6"/>
    </row>
    <row r="99" spans="1:12" x14ac:dyDescent="0.35">
      <c r="A99" t="s">
        <v>140</v>
      </c>
      <c r="B99" s="1" t="s">
        <v>141</v>
      </c>
      <c r="C99" t="str">
        <f>"2022/12/05"</f>
        <v>2022/12/05</v>
      </c>
      <c r="D99" s="4">
        <f t="shared" si="5"/>
        <v>44900</v>
      </c>
      <c r="E99" s="4">
        <f t="shared" si="6"/>
        <v>45260</v>
      </c>
      <c r="F99" t="str">
        <f>"2023/11/30"</f>
        <v>2023/11/30</v>
      </c>
      <c r="G99" s="1" t="s">
        <v>61</v>
      </c>
      <c r="H99">
        <v>1971</v>
      </c>
      <c r="I99" s="1" t="s">
        <v>8</v>
      </c>
      <c r="K99" s="1" t="s">
        <v>142</v>
      </c>
    </row>
    <row r="100" spans="1:12" x14ac:dyDescent="0.35">
      <c r="A100" t="s">
        <v>563</v>
      </c>
      <c r="B100" s="1" t="s">
        <v>564</v>
      </c>
      <c r="C100" t="str">
        <f>"2022/12/05"</f>
        <v>2022/12/05</v>
      </c>
      <c r="D100" s="4">
        <f t="shared" si="5"/>
        <v>44900</v>
      </c>
      <c r="E100" s="4">
        <f t="shared" si="6"/>
        <v>45630</v>
      </c>
      <c r="F100" t="str">
        <f>"2024/12/04"</f>
        <v>2024/12/04</v>
      </c>
      <c r="G100" s="1" t="s">
        <v>61</v>
      </c>
      <c r="H100">
        <v>2005</v>
      </c>
      <c r="I100" s="1" t="s">
        <v>124</v>
      </c>
      <c r="J100" s="1" t="s">
        <v>13</v>
      </c>
      <c r="K100" s="1" t="s">
        <v>565</v>
      </c>
    </row>
    <row r="101" spans="1:12" ht="29" x14ac:dyDescent="0.35">
      <c r="A101" s="5" t="s">
        <v>1556</v>
      </c>
      <c r="B101" s="6" t="s">
        <v>1557</v>
      </c>
      <c r="C101" s="5" t="str">
        <f t="shared" ref="C101:C113" si="9">"2022/12/01"</f>
        <v>2022/12/01</v>
      </c>
      <c r="D101" s="7">
        <f t="shared" si="5"/>
        <v>44896</v>
      </c>
      <c r="E101" s="7">
        <f t="shared" si="6"/>
        <v>45077</v>
      </c>
      <c r="F101" s="5" t="str">
        <f>"2023/05/31"</f>
        <v>2023/05/31</v>
      </c>
      <c r="G101" s="6" t="s">
        <v>268</v>
      </c>
      <c r="H101" s="5">
        <v>1975</v>
      </c>
      <c r="I101" s="6" t="s">
        <v>13</v>
      </c>
      <c r="J101" s="6"/>
      <c r="K101" s="6" t="s">
        <v>1555</v>
      </c>
      <c r="L101" s="6"/>
    </row>
    <row r="102" spans="1:12" ht="29" x14ac:dyDescent="0.35">
      <c r="A102" s="5" t="s">
        <v>1558</v>
      </c>
      <c r="B102" s="6" t="s">
        <v>1559</v>
      </c>
      <c r="C102" s="5" t="str">
        <f t="shared" si="9"/>
        <v>2022/12/01</v>
      </c>
      <c r="D102" s="7">
        <f t="shared" si="5"/>
        <v>44896</v>
      </c>
      <c r="E102" s="7">
        <f t="shared" si="6"/>
        <v>45200</v>
      </c>
      <c r="F102" s="5" t="str">
        <f>"2023/10/01"</f>
        <v>2023/10/01</v>
      </c>
      <c r="G102" s="6" t="s">
        <v>277</v>
      </c>
      <c r="H102" s="5">
        <v>2008</v>
      </c>
      <c r="I102" s="6" t="s">
        <v>52</v>
      </c>
      <c r="J102" s="6" t="s">
        <v>31</v>
      </c>
      <c r="K102" s="6" t="s">
        <v>237</v>
      </c>
      <c r="L102" s="6"/>
    </row>
    <row r="103" spans="1:12" x14ac:dyDescent="0.35">
      <c r="A103" t="s">
        <v>1121</v>
      </c>
      <c r="B103" s="1" t="s">
        <v>1122</v>
      </c>
      <c r="C103" t="str">
        <f t="shared" si="9"/>
        <v>2022/12/01</v>
      </c>
      <c r="D103" s="4">
        <f t="shared" si="5"/>
        <v>44896</v>
      </c>
      <c r="E103" s="4">
        <f t="shared" si="6"/>
        <v>45261</v>
      </c>
      <c r="F103" t="str">
        <f>"2023/12/01"</f>
        <v>2023/12/01</v>
      </c>
      <c r="G103" s="1" t="s">
        <v>5</v>
      </c>
      <c r="H103">
        <v>1962</v>
      </c>
      <c r="I103" s="1" t="s">
        <v>12</v>
      </c>
      <c r="J103" s="1" t="s">
        <v>13</v>
      </c>
      <c r="K103" s="1" t="s">
        <v>954</v>
      </c>
    </row>
    <row r="104" spans="1:12" x14ac:dyDescent="0.35">
      <c r="A104" t="s">
        <v>1429</v>
      </c>
      <c r="B104" s="1" t="s">
        <v>1430</v>
      </c>
      <c r="C104" t="str">
        <f t="shared" si="9"/>
        <v>2022/12/01</v>
      </c>
      <c r="D104" s="4">
        <f t="shared" si="5"/>
        <v>44896</v>
      </c>
      <c r="E104" s="4">
        <f t="shared" si="6"/>
        <v>45261</v>
      </c>
      <c r="F104" t="str">
        <f>"2023/12/01"</f>
        <v>2023/12/01</v>
      </c>
      <c r="G104" s="1" t="s">
        <v>5</v>
      </c>
      <c r="H104">
        <v>2021</v>
      </c>
      <c r="I104" s="1" t="s">
        <v>13</v>
      </c>
      <c r="J104" s="1" t="s">
        <v>7</v>
      </c>
      <c r="K104" s="1" t="s">
        <v>1431</v>
      </c>
    </row>
    <row r="105" spans="1:12" x14ac:dyDescent="0.35">
      <c r="A105" t="s">
        <v>34</v>
      </c>
      <c r="B105" s="1" t="s">
        <v>35</v>
      </c>
      <c r="C105" t="str">
        <f t="shared" si="9"/>
        <v>2022/12/01</v>
      </c>
      <c r="D105" s="4">
        <f t="shared" si="5"/>
        <v>44896</v>
      </c>
      <c r="E105" s="4">
        <f t="shared" si="6"/>
        <v>45627</v>
      </c>
      <c r="F105" t="str">
        <f>"2024/12/01"</f>
        <v>2024/12/01</v>
      </c>
      <c r="G105" s="1" t="s">
        <v>36</v>
      </c>
      <c r="H105">
        <v>1941</v>
      </c>
      <c r="I105" s="1" t="s">
        <v>6</v>
      </c>
      <c r="J105" s="1" t="s">
        <v>13</v>
      </c>
      <c r="K105" s="1" t="s">
        <v>38</v>
      </c>
    </row>
    <row r="106" spans="1:12" x14ac:dyDescent="0.35">
      <c r="A106" t="s">
        <v>529</v>
      </c>
      <c r="B106" s="1" t="s">
        <v>530</v>
      </c>
      <c r="C106" t="str">
        <f t="shared" si="9"/>
        <v>2022/12/01</v>
      </c>
      <c r="D106" s="4">
        <f t="shared" si="5"/>
        <v>44896</v>
      </c>
      <c r="E106" s="4">
        <f t="shared" si="6"/>
        <v>45657</v>
      </c>
      <c r="F106" t="str">
        <f>"2024/12/31"</f>
        <v>2024/12/31</v>
      </c>
      <c r="G106" s="1" t="s">
        <v>214</v>
      </c>
      <c r="H106">
        <v>1955</v>
      </c>
      <c r="I106" s="1" t="s">
        <v>6</v>
      </c>
      <c r="J106" s="1" t="s">
        <v>13</v>
      </c>
      <c r="K106" s="1" t="s">
        <v>90</v>
      </c>
    </row>
    <row r="107" spans="1:12" x14ac:dyDescent="0.35">
      <c r="A107" t="s">
        <v>56</v>
      </c>
      <c r="B107" s="1" t="s">
        <v>57</v>
      </c>
      <c r="C107" t="str">
        <f t="shared" si="9"/>
        <v>2022/12/01</v>
      </c>
      <c r="D107" s="4">
        <f t="shared" si="5"/>
        <v>44896</v>
      </c>
      <c r="E107" s="4">
        <f t="shared" si="6"/>
        <v>46142</v>
      </c>
      <c r="F107" t="str">
        <f>"2026/04/30"</f>
        <v>2026/04/30</v>
      </c>
      <c r="G107" s="1" t="s">
        <v>5</v>
      </c>
      <c r="H107">
        <v>1939</v>
      </c>
      <c r="I107" s="1" t="s">
        <v>6</v>
      </c>
      <c r="J107" s="1" t="s">
        <v>12</v>
      </c>
      <c r="K107" s="1" t="s">
        <v>58</v>
      </c>
    </row>
    <row r="108" spans="1:12" x14ac:dyDescent="0.35">
      <c r="A108" t="s">
        <v>73</v>
      </c>
      <c r="B108" s="1" t="s">
        <v>74</v>
      </c>
      <c r="C108" t="str">
        <f t="shared" si="9"/>
        <v>2022/12/01</v>
      </c>
      <c r="D108" s="4">
        <f t="shared" si="5"/>
        <v>44896</v>
      </c>
      <c r="E108" s="4">
        <f t="shared" si="6"/>
        <v>46142</v>
      </c>
      <c r="F108" t="str">
        <f>"2026/04/30"</f>
        <v>2026/04/30</v>
      </c>
      <c r="G108" s="1" t="s">
        <v>5</v>
      </c>
      <c r="H108">
        <v>1928</v>
      </c>
      <c r="I108" s="1" t="s">
        <v>6</v>
      </c>
      <c r="J108" s="1" t="s">
        <v>7</v>
      </c>
      <c r="K108" s="1" t="s">
        <v>76</v>
      </c>
    </row>
    <row r="109" spans="1:12" x14ac:dyDescent="0.35">
      <c r="A109" t="s">
        <v>15</v>
      </c>
      <c r="B109" s="1" t="s">
        <v>16</v>
      </c>
      <c r="C109" t="str">
        <f t="shared" si="9"/>
        <v>2022/12/01</v>
      </c>
      <c r="D109" s="4">
        <f t="shared" si="5"/>
        <v>44896</v>
      </c>
      <c r="E109" s="4">
        <f t="shared" si="6"/>
        <v>46568</v>
      </c>
      <c r="F109" t="str">
        <f>"2027/06/30"</f>
        <v>2027/06/30</v>
      </c>
      <c r="G109" s="1" t="s">
        <v>17</v>
      </c>
      <c r="H109">
        <v>1925</v>
      </c>
      <c r="I109" s="1" t="s">
        <v>6</v>
      </c>
      <c r="J109" s="1" t="s">
        <v>13</v>
      </c>
      <c r="K109" s="1" t="s">
        <v>19</v>
      </c>
    </row>
    <row r="110" spans="1:12" x14ac:dyDescent="0.35">
      <c r="A110" t="s">
        <v>1434</v>
      </c>
      <c r="B110" s="1" t="s">
        <v>1435</v>
      </c>
      <c r="C110" t="str">
        <f t="shared" si="9"/>
        <v>2022/12/01</v>
      </c>
      <c r="D110" s="4">
        <f t="shared" si="5"/>
        <v>44896</v>
      </c>
      <c r="E110" s="4">
        <f t="shared" si="6"/>
        <v>47573</v>
      </c>
      <c r="F110" t="str">
        <f>"2030/03/31"</f>
        <v>2030/03/31</v>
      </c>
      <c r="G110" s="1" t="s">
        <v>5</v>
      </c>
      <c r="H110">
        <v>1959</v>
      </c>
      <c r="I110" s="1" t="s">
        <v>124</v>
      </c>
      <c r="J110" s="1" t="s">
        <v>13</v>
      </c>
      <c r="K110" s="1" t="s">
        <v>24</v>
      </c>
    </row>
    <row r="111" spans="1:12" x14ac:dyDescent="0.35">
      <c r="A111" t="s">
        <v>1436</v>
      </c>
      <c r="B111" s="1" t="s">
        <v>1437</v>
      </c>
      <c r="C111" t="str">
        <f t="shared" si="9"/>
        <v>2022/12/01</v>
      </c>
      <c r="D111" s="4">
        <f t="shared" si="5"/>
        <v>44896</v>
      </c>
      <c r="E111" s="4">
        <f t="shared" si="6"/>
        <v>47573</v>
      </c>
      <c r="F111" t="str">
        <f>"2030/03/31"</f>
        <v>2030/03/31</v>
      </c>
      <c r="G111" s="1" t="s">
        <v>5</v>
      </c>
      <c r="H111">
        <v>1983</v>
      </c>
      <c r="I111" s="1" t="s">
        <v>124</v>
      </c>
      <c r="J111" s="1" t="s">
        <v>13</v>
      </c>
      <c r="K111" s="1" t="s">
        <v>24</v>
      </c>
    </row>
    <row r="112" spans="1:12" x14ac:dyDescent="0.35">
      <c r="A112" t="s">
        <v>47</v>
      </c>
      <c r="B112" s="1" t="s">
        <v>48</v>
      </c>
      <c r="C112" t="str">
        <f t="shared" si="9"/>
        <v>2022/12/01</v>
      </c>
      <c r="D112" s="4">
        <f t="shared" si="5"/>
        <v>44896</v>
      </c>
      <c r="E112" s="4">
        <f t="shared" si="6"/>
        <v>47785</v>
      </c>
      <c r="F112" t="str">
        <f>"2030/10/29"</f>
        <v>2030/10/29</v>
      </c>
      <c r="G112" s="1" t="s">
        <v>49</v>
      </c>
      <c r="H112">
        <v>1966</v>
      </c>
      <c r="I112" s="1" t="s">
        <v>6</v>
      </c>
      <c r="J112" s="1" t="s">
        <v>13</v>
      </c>
      <c r="K112" s="1" t="s">
        <v>51</v>
      </c>
    </row>
    <row r="113" spans="1:12" x14ac:dyDescent="0.35">
      <c r="A113" t="s">
        <v>29</v>
      </c>
      <c r="B113" s="1" t="s">
        <v>30</v>
      </c>
      <c r="C113" t="str">
        <f t="shared" si="9"/>
        <v>2022/12/01</v>
      </c>
      <c r="D113" s="4">
        <f t="shared" si="5"/>
        <v>44896</v>
      </c>
      <c r="E113" s="4">
        <f t="shared" si="6"/>
        <v>50041</v>
      </c>
      <c r="F113" t="str">
        <f>"2037/01/01"</f>
        <v>2037/01/01</v>
      </c>
      <c r="G113" s="1" t="s">
        <v>17</v>
      </c>
      <c r="H113">
        <v>1929</v>
      </c>
      <c r="I113" s="1" t="s">
        <v>31</v>
      </c>
      <c r="J113" s="1" t="s">
        <v>18</v>
      </c>
      <c r="K113" s="1" t="s">
        <v>33</v>
      </c>
    </row>
    <row r="114" spans="1:12" x14ac:dyDescent="0.35">
      <c r="A114" t="s">
        <v>1493</v>
      </c>
      <c r="B114" s="1" t="s">
        <v>1494</v>
      </c>
      <c r="C114" t="str">
        <f>"2022/11/28"</f>
        <v>2022/11/28</v>
      </c>
      <c r="D114" s="4">
        <f t="shared" si="5"/>
        <v>44893</v>
      </c>
      <c r="E114" s="4">
        <f t="shared" si="6"/>
        <v>45231</v>
      </c>
      <c r="F114" t="str">
        <f>"2023/11/01"</f>
        <v>2023/11/01</v>
      </c>
      <c r="G114" s="1" t="s">
        <v>328</v>
      </c>
      <c r="H114">
        <v>2017</v>
      </c>
      <c r="I114" s="1" t="s">
        <v>7</v>
      </c>
      <c r="J114" s="1" t="s">
        <v>8</v>
      </c>
      <c r="K114" s="1" t="s">
        <v>1495</v>
      </c>
      <c r="L114" s="1" t="s">
        <v>1496</v>
      </c>
    </row>
    <row r="115" spans="1:12" x14ac:dyDescent="0.35">
      <c r="A115" t="s">
        <v>1230</v>
      </c>
      <c r="B115" s="1" t="s">
        <v>1231</v>
      </c>
      <c r="C115" t="str">
        <f>"2022/11/26"</f>
        <v>2022/11/26</v>
      </c>
      <c r="D115" s="4">
        <f t="shared" si="5"/>
        <v>44891</v>
      </c>
      <c r="E115" s="4">
        <f t="shared" si="6"/>
        <v>45622</v>
      </c>
      <c r="F115" t="str">
        <f>"2024/11/26"</f>
        <v>2024/11/26</v>
      </c>
      <c r="G115" s="1" t="s">
        <v>5</v>
      </c>
      <c r="H115">
        <v>2021</v>
      </c>
      <c r="I115" s="1" t="s">
        <v>13</v>
      </c>
      <c r="K115" s="1" t="s">
        <v>1232</v>
      </c>
    </row>
    <row r="116" spans="1:12" x14ac:dyDescent="0.35">
      <c r="A116" t="s">
        <v>972</v>
      </c>
      <c r="B116" s="1" t="s">
        <v>973</v>
      </c>
      <c r="C116" t="str">
        <f>"2022/11/24"</f>
        <v>2022/11/24</v>
      </c>
      <c r="D116" s="4">
        <f t="shared" si="5"/>
        <v>44889</v>
      </c>
      <c r="E116" s="4">
        <f t="shared" si="6"/>
        <v>45231</v>
      </c>
      <c r="F116" t="str">
        <f>"2023/11/01"</f>
        <v>2023/11/01</v>
      </c>
      <c r="G116" s="1" t="s">
        <v>214</v>
      </c>
      <c r="H116">
        <v>2018</v>
      </c>
      <c r="I116" s="1" t="s">
        <v>124</v>
      </c>
      <c r="J116" s="1" t="s">
        <v>13</v>
      </c>
      <c r="K116" s="1" t="s">
        <v>974</v>
      </c>
    </row>
    <row r="117" spans="1:12" x14ac:dyDescent="0.35">
      <c r="A117" t="s">
        <v>359</v>
      </c>
      <c r="B117" s="1" t="s">
        <v>360</v>
      </c>
      <c r="C117" t="str">
        <f>"2022/11/23"</f>
        <v>2022/11/23</v>
      </c>
      <c r="D117" s="4">
        <f t="shared" si="5"/>
        <v>44888</v>
      </c>
      <c r="E117" s="4">
        <f t="shared" si="6"/>
        <v>45231</v>
      </c>
      <c r="F117" t="str">
        <f>"2023/11/01"</f>
        <v>2023/11/01</v>
      </c>
      <c r="G117" s="1" t="s">
        <v>5</v>
      </c>
      <c r="H117">
        <v>1981</v>
      </c>
      <c r="I117" s="1" t="s">
        <v>13</v>
      </c>
      <c r="J117" s="1" t="s">
        <v>7</v>
      </c>
      <c r="K117" s="1" t="s">
        <v>361</v>
      </c>
    </row>
    <row r="118" spans="1:12" x14ac:dyDescent="0.35">
      <c r="A118" t="s">
        <v>1532</v>
      </c>
      <c r="B118" s="1" t="s">
        <v>1533</v>
      </c>
      <c r="C118" t="str">
        <f>"2022/11/21"</f>
        <v>2022/11/21</v>
      </c>
      <c r="D118" s="4">
        <f t="shared" si="5"/>
        <v>44886</v>
      </c>
      <c r="E118" s="4">
        <f t="shared" si="6"/>
        <v>45231</v>
      </c>
      <c r="F118" t="str">
        <f>"2023/11/01"</f>
        <v>2023/11/01</v>
      </c>
      <c r="G118" s="1" t="s">
        <v>289</v>
      </c>
      <c r="H118">
        <v>2008</v>
      </c>
      <c r="I118" s="1" t="s">
        <v>8</v>
      </c>
      <c r="J118" s="1" t="s">
        <v>240</v>
      </c>
      <c r="K118" s="1" t="s">
        <v>1534</v>
      </c>
    </row>
    <row r="119" spans="1:12" ht="29" x14ac:dyDescent="0.35">
      <c r="A119" t="s">
        <v>741</v>
      </c>
      <c r="B119" s="1" t="s">
        <v>742</v>
      </c>
      <c r="C119" t="str">
        <f>"2022/11/21"</f>
        <v>2022/11/21</v>
      </c>
      <c r="D119" s="4">
        <f t="shared" si="5"/>
        <v>44886</v>
      </c>
      <c r="E119" s="4">
        <f t="shared" si="6"/>
        <v>47785</v>
      </c>
      <c r="F119" t="str">
        <f>"2030/10/29"</f>
        <v>2030/10/29</v>
      </c>
      <c r="G119" s="1" t="s">
        <v>11</v>
      </c>
      <c r="H119">
        <v>1978</v>
      </c>
      <c r="I119" s="1" t="s">
        <v>13</v>
      </c>
      <c r="K119" s="1" t="s">
        <v>51</v>
      </c>
    </row>
    <row r="120" spans="1:12" x14ac:dyDescent="0.35">
      <c r="A120" t="s">
        <v>235</v>
      </c>
      <c r="B120" s="1" t="s">
        <v>236</v>
      </c>
      <c r="C120" t="str">
        <f>"2022/11/14"</f>
        <v>2022/11/14</v>
      </c>
      <c r="D120" s="4">
        <f t="shared" si="5"/>
        <v>44879</v>
      </c>
      <c r="E120" s="4">
        <f t="shared" si="6"/>
        <v>50041</v>
      </c>
      <c r="F120" t="str">
        <f>"2037/01/01"</f>
        <v>2037/01/01</v>
      </c>
      <c r="G120" s="1" t="s">
        <v>61</v>
      </c>
      <c r="H120">
        <v>1982</v>
      </c>
      <c r="I120" s="1" t="s">
        <v>13</v>
      </c>
      <c r="K120" s="1" t="s">
        <v>237</v>
      </c>
    </row>
    <row r="121" spans="1:12" x14ac:dyDescent="0.35">
      <c r="A121" t="s">
        <v>1522</v>
      </c>
      <c r="B121" s="1" t="s">
        <v>1523</v>
      </c>
      <c r="C121" t="str">
        <f>"2022/11/10"</f>
        <v>2022/11/10</v>
      </c>
      <c r="D121" s="4">
        <f t="shared" si="5"/>
        <v>44875</v>
      </c>
      <c r="E121" s="4">
        <f t="shared" si="6"/>
        <v>45231</v>
      </c>
      <c r="F121" t="str">
        <f>"2023/11/01"</f>
        <v>2023/11/01</v>
      </c>
      <c r="G121" s="1" t="s">
        <v>61</v>
      </c>
      <c r="H121">
        <v>1993</v>
      </c>
      <c r="I121" s="1" t="s">
        <v>13</v>
      </c>
      <c r="J121" s="1" t="s">
        <v>18</v>
      </c>
      <c r="K121" s="1" t="s">
        <v>237</v>
      </c>
    </row>
    <row r="122" spans="1:12" x14ac:dyDescent="0.35">
      <c r="A122" t="s">
        <v>1524</v>
      </c>
      <c r="B122" s="1" t="s">
        <v>1525</v>
      </c>
      <c r="C122" t="str">
        <f>"2022/11/10"</f>
        <v>2022/11/10</v>
      </c>
      <c r="D122" s="4">
        <f t="shared" si="5"/>
        <v>44875</v>
      </c>
      <c r="E122" s="4">
        <f t="shared" si="6"/>
        <v>45231</v>
      </c>
      <c r="F122" t="str">
        <f>"2023/11/01"</f>
        <v>2023/11/01</v>
      </c>
      <c r="G122" s="1" t="s">
        <v>277</v>
      </c>
      <c r="H122">
        <v>1999</v>
      </c>
      <c r="I122" s="1" t="s">
        <v>12</v>
      </c>
      <c r="J122" s="1" t="s">
        <v>13</v>
      </c>
      <c r="K122" s="1" t="s">
        <v>237</v>
      </c>
    </row>
    <row r="123" spans="1:12" x14ac:dyDescent="0.35">
      <c r="A123" t="s">
        <v>1526</v>
      </c>
      <c r="B123" s="1" t="s">
        <v>1527</v>
      </c>
      <c r="C123" t="str">
        <f>"2022/11/10"</f>
        <v>2022/11/10</v>
      </c>
      <c r="D123" s="4">
        <f t="shared" si="5"/>
        <v>44875</v>
      </c>
      <c r="E123" s="4">
        <f t="shared" si="6"/>
        <v>45231</v>
      </c>
      <c r="F123" t="str">
        <f>"2023/11/01"</f>
        <v>2023/11/01</v>
      </c>
      <c r="G123" s="1" t="s">
        <v>277</v>
      </c>
      <c r="H123">
        <v>1996</v>
      </c>
      <c r="I123" s="1" t="s">
        <v>13</v>
      </c>
      <c r="J123" s="1" t="s">
        <v>22</v>
      </c>
      <c r="K123" s="1" t="s">
        <v>237</v>
      </c>
    </row>
    <row r="124" spans="1:12" x14ac:dyDescent="0.35">
      <c r="A124" t="s">
        <v>1528</v>
      </c>
      <c r="B124" s="1" t="s">
        <v>1529</v>
      </c>
      <c r="C124" t="str">
        <f>"2022/11/10"</f>
        <v>2022/11/10</v>
      </c>
      <c r="D124" s="4">
        <f t="shared" si="5"/>
        <v>44875</v>
      </c>
      <c r="E124" s="4">
        <f t="shared" si="6"/>
        <v>45231</v>
      </c>
      <c r="F124" t="str">
        <f>"2023/11/01"</f>
        <v>2023/11/01</v>
      </c>
      <c r="G124" s="1" t="s">
        <v>277</v>
      </c>
      <c r="H124">
        <v>1991</v>
      </c>
      <c r="I124" s="1" t="s">
        <v>13</v>
      </c>
      <c r="J124" s="1" t="s">
        <v>7</v>
      </c>
      <c r="K124" s="1" t="s">
        <v>237</v>
      </c>
    </row>
    <row r="125" spans="1:12" x14ac:dyDescent="0.35">
      <c r="A125" t="s">
        <v>1551</v>
      </c>
      <c r="B125" s="1" t="s">
        <v>1552</v>
      </c>
      <c r="C125" t="str">
        <f>"2022/11/10"</f>
        <v>2022/11/10</v>
      </c>
      <c r="D125" s="4">
        <f t="shared" si="5"/>
        <v>44875</v>
      </c>
      <c r="E125" s="4">
        <f t="shared" si="6"/>
        <v>45231</v>
      </c>
      <c r="F125" t="str">
        <f>"2023/11/01"</f>
        <v>2023/11/01</v>
      </c>
      <c r="G125" s="1" t="s">
        <v>61</v>
      </c>
      <c r="H125">
        <v>1988</v>
      </c>
      <c r="I125" s="1" t="s">
        <v>12</v>
      </c>
      <c r="J125" s="1" t="s">
        <v>13</v>
      </c>
      <c r="K125" s="1" t="s">
        <v>237</v>
      </c>
    </row>
    <row r="126" spans="1:12" x14ac:dyDescent="0.35">
      <c r="A126" t="s">
        <v>1447</v>
      </c>
      <c r="B126" s="1" t="s">
        <v>1448</v>
      </c>
      <c r="C126" t="str">
        <f>"2022/11/07"</f>
        <v>2022/11/07</v>
      </c>
      <c r="D126" s="4">
        <f t="shared" si="5"/>
        <v>44872</v>
      </c>
      <c r="E126" s="4">
        <f t="shared" si="6"/>
        <v>48469</v>
      </c>
      <c r="F126" t="str">
        <f>"2032/09/12"</f>
        <v>2032/09/12</v>
      </c>
      <c r="G126" s="1" t="s">
        <v>61</v>
      </c>
      <c r="H126">
        <v>1987</v>
      </c>
      <c r="I126" s="1" t="s">
        <v>13</v>
      </c>
      <c r="K126" s="1" t="s">
        <v>237</v>
      </c>
    </row>
    <row r="127" spans="1:12" x14ac:dyDescent="0.35">
      <c r="A127" s="5" t="s">
        <v>981</v>
      </c>
      <c r="B127" s="6" t="s">
        <v>982</v>
      </c>
      <c r="C127" s="5" t="str">
        <f>"2022/11/01"</f>
        <v>2022/11/01</v>
      </c>
      <c r="D127" s="7">
        <f t="shared" si="5"/>
        <v>44866</v>
      </c>
      <c r="E127" s="7">
        <f t="shared" si="6"/>
        <v>45046</v>
      </c>
      <c r="F127" s="5" t="str">
        <f>"2023/04/30"</f>
        <v>2023/04/30</v>
      </c>
      <c r="G127" s="6" t="s">
        <v>622</v>
      </c>
      <c r="H127" s="5">
        <v>2010</v>
      </c>
      <c r="I127" s="6" t="s">
        <v>7</v>
      </c>
      <c r="J127" s="6" t="s">
        <v>963</v>
      </c>
      <c r="K127" s="6" t="s">
        <v>983</v>
      </c>
      <c r="L127" s="6"/>
    </row>
    <row r="128" spans="1:12" x14ac:dyDescent="0.35">
      <c r="A128" t="s">
        <v>1192</v>
      </c>
      <c r="B128" s="1" t="s">
        <v>1193</v>
      </c>
      <c r="C128" t="str">
        <f>"2022/11/01"</f>
        <v>2022/11/01</v>
      </c>
      <c r="D128" s="4">
        <f t="shared" si="5"/>
        <v>44866</v>
      </c>
      <c r="E128" s="4">
        <f t="shared" si="6"/>
        <v>45230</v>
      </c>
      <c r="F128" t="str">
        <f>"2023/10/31"</f>
        <v>2023/10/31</v>
      </c>
      <c r="G128" s="1" t="s">
        <v>36</v>
      </c>
      <c r="H128">
        <v>2011</v>
      </c>
      <c r="I128" s="1" t="s">
        <v>124</v>
      </c>
      <c r="J128" s="1" t="s">
        <v>13</v>
      </c>
      <c r="K128" s="1" t="s">
        <v>591</v>
      </c>
    </row>
    <row r="129" spans="1:12" x14ac:dyDescent="0.35">
      <c r="A129" t="s">
        <v>1194</v>
      </c>
      <c r="B129" s="1" t="s">
        <v>1195</v>
      </c>
      <c r="C129" t="str">
        <f>"2022/11/01"</f>
        <v>2022/11/01</v>
      </c>
      <c r="D129" s="4">
        <f t="shared" si="5"/>
        <v>44866</v>
      </c>
      <c r="E129" s="4">
        <f t="shared" si="6"/>
        <v>45230</v>
      </c>
      <c r="F129" t="str">
        <f>"2023/10/31"</f>
        <v>2023/10/31</v>
      </c>
      <c r="G129" s="1" t="s">
        <v>61</v>
      </c>
      <c r="H129">
        <v>2002</v>
      </c>
      <c r="I129" s="1" t="s">
        <v>12</v>
      </c>
      <c r="J129" s="1" t="s">
        <v>13</v>
      </c>
      <c r="K129" s="1" t="s">
        <v>969</v>
      </c>
    </row>
    <row r="130" spans="1:12" x14ac:dyDescent="0.35">
      <c r="A130" t="s">
        <v>1196</v>
      </c>
      <c r="B130" s="1" t="s">
        <v>1197</v>
      </c>
      <c r="C130" t="str">
        <f>"2022/11/01"</f>
        <v>2022/11/01</v>
      </c>
      <c r="D130" s="4">
        <f t="shared" ref="D130:D193" si="10">DATEVALUE(C130)</f>
        <v>44866</v>
      </c>
      <c r="E130" s="4">
        <f t="shared" ref="E130:E193" si="11">DATEVALUE(F130)</f>
        <v>45230</v>
      </c>
      <c r="F130" t="str">
        <f>"2023/10/31"</f>
        <v>2023/10/31</v>
      </c>
      <c r="G130" s="1" t="s">
        <v>61</v>
      </c>
      <c r="H130">
        <v>2004</v>
      </c>
      <c r="I130" s="1" t="s">
        <v>13</v>
      </c>
      <c r="J130" s="1" t="s">
        <v>22</v>
      </c>
      <c r="K130" s="1" t="s">
        <v>385</v>
      </c>
    </row>
    <row r="131" spans="1:12" x14ac:dyDescent="0.35">
      <c r="A131" t="s">
        <v>1364</v>
      </c>
      <c r="B131" s="1" t="s">
        <v>1365</v>
      </c>
      <c r="C131" t="str">
        <f>"2022/10/28"</f>
        <v>2022/10/28</v>
      </c>
      <c r="D131" s="4">
        <f t="shared" si="10"/>
        <v>44862</v>
      </c>
      <c r="E131" s="4">
        <f t="shared" si="11"/>
        <v>45958</v>
      </c>
      <c r="F131" t="str">
        <f>"2025/10/28"</f>
        <v>2025/10/28</v>
      </c>
      <c r="G131" s="1" t="s">
        <v>5</v>
      </c>
      <c r="H131">
        <v>2021</v>
      </c>
      <c r="I131" s="1" t="s">
        <v>124</v>
      </c>
      <c r="J131" s="1" t="s">
        <v>13</v>
      </c>
      <c r="K131" s="1" t="s">
        <v>1366</v>
      </c>
    </row>
    <row r="132" spans="1:12" x14ac:dyDescent="0.35">
      <c r="A132" s="5" t="s">
        <v>1506</v>
      </c>
      <c r="B132" s="6" t="s">
        <v>1507</v>
      </c>
      <c r="C132" s="5" t="str">
        <f>"2022/10/27"</f>
        <v>2022/10/27</v>
      </c>
      <c r="D132" s="7">
        <f t="shared" si="10"/>
        <v>44861</v>
      </c>
      <c r="E132" s="7">
        <f t="shared" si="11"/>
        <v>45200</v>
      </c>
      <c r="F132" s="5" t="str">
        <f>"2023/10/01"</f>
        <v>2023/10/01</v>
      </c>
      <c r="G132" s="6" t="s">
        <v>17</v>
      </c>
      <c r="H132" s="5">
        <v>1967</v>
      </c>
      <c r="I132" s="6" t="s">
        <v>13</v>
      </c>
      <c r="J132" s="6" t="s">
        <v>7</v>
      </c>
      <c r="K132" s="6" t="s">
        <v>1508</v>
      </c>
      <c r="L132" s="6" t="s">
        <v>1509</v>
      </c>
    </row>
    <row r="133" spans="1:12" x14ac:dyDescent="0.35">
      <c r="A133" t="s">
        <v>1515</v>
      </c>
      <c r="B133" s="1" t="s">
        <v>1516</v>
      </c>
      <c r="C133" t="str">
        <f>"2022/10/27"</f>
        <v>2022/10/27</v>
      </c>
      <c r="D133" s="4">
        <f t="shared" si="10"/>
        <v>44861</v>
      </c>
      <c r="E133" s="4">
        <f t="shared" si="11"/>
        <v>45226</v>
      </c>
      <c r="F133" t="str">
        <f>"2023/10/27"</f>
        <v>2023/10/27</v>
      </c>
      <c r="G133" s="1" t="s">
        <v>61</v>
      </c>
      <c r="H133">
        <v>2012</v>
      </c>
      <c r="I133" s="1" t="s">
        <v>31</v>
      </c>
      <c r="J133" s="1" t="s">
        <v>1517</v>
      </c>
      <c r="K133" s="1" t="s">
        <v>1518</v>
      </c>
    </row>
    <row r="134" spans="1:12" x14ac:dyDescent="0.35">
      <c r="A134" s="5" t="s">
        <v>970</v>
      </c>
      <c r="B134" s="6" t="s">
        <v>971</v>
      </c>
      <c r="C134" s="5" t="str">
        <f>"2022/10/25"</f>
        <v>2022/10/25</v>
      </c>
      <c r="D134" s="7">
        <f t="shared" si="10"/>
        <v>44859</v>
      </c>
      <c r="E134" s="7">
        <f t="shared" si="11"/>
        <v>45199</v>
      </c>
      <c r="F134" s="5" t="str">
        <f>"2023/09/30"</f>
        <v>2023/09/30</v>
      </c>
      <c r="G134" s="6" t="s">
        <v>27</v>
      </c>
      <c r="H134" s="5">
        <v>1968</v>
      </c>
      <c r="I134" s="6" t="s">
        <v>8</v>
      </c>
      <c r="J134" s="6"/>
      <c r="K134" s="6" t="s">
        <v>688</v>
      </c>
      <c r="L134" s="6"/>
    </row>
    <row r="135" spans="1:12" x14ac:dyDescent="0.35">
      <c r="A135" t="s">
        <v>1497</v>
      </c>
      <c r="B135" s="1" t="s">
        <v>1498</v>
      </c>
      <c r="C135" t="str">
        <f>"2022/10/24"</f>
        <v>2022/10/24</v>
      </c>
      <c r="D135" s="4">
        <f t="shared" si="10"/>
        <v>44858</v>
      </c>
      <c r="E135" s="4">
        <f t="shared" si="11"/>
        <v>47309</v>
      </c>
      <c r="F135" t="str">
        <f>"2029/07/10"</f>
        <v>2029/07/10</v>
      </c>
      <c r="G135" s="1" t="s">
        <v>61</v>
      </c>
      <c r="H135">
        <v>1981</v>
      </c>
      <c r="I135" s="1" t="s">
        <v>13</v>
      </c>
      <c r="J135" s="1" t="s">
        <v>963</v>
      </c>
      <c r="K135" s="1" t="s">
        <v>1499</v>
      </c>
    </row>
    <row r="136" spans="1:12" x14ac:dyDescent="0.35">
      <c r="A136" s="5" t="s">
        <v>85</v>
      </c>
      <c r="B136" s="6" t="s">
        <v>86</v>
      </c>
      <c r="C136" s="5" t="str">
        <f>"2022/10/17"</f>
        <v>2022/10/17</v>
      </c>
      <c r="D136" s="7">
        <f t="shared" si="10"/>
        <v>44851</v>
      </c>
      <c r="E136" s="7">
        <f t="shared" si="11"/>
        <v>45200</v>
      </c>
      <c r="F136" s="5" t="str">
        <f>"2023/10/01"</f>
        <v>2023/10/01</v>
      </c>
      <c r="G136" s="6" t="s">
        <v>87</v>
      </c>
      <c r="H136" s="5">
        <v>1922</v>
      </c>
      <c r="I136" s="6" t="s">
        <v>6</v>
      </c>
      <c r="J136" s="6" t="s">
        <v>8</v>
      </c>
      <c r="K136" s="6" t="s">
        <v>68</v>
      </c>
      <c r="L136" s="6"/>
    </row>
    <row r="137" spans="1:12" x14ac:dyDescent="0.35">
      <c r="A137" s="5" t="s">
        <v>1461</v>
      </c>
      <c r="B137" s="6" t="s">
        <v>1462</v>
      </c>
      <c r="C137" s="5" t="str">
        <f>"2022/10/17"</f>
        <v>2022/10/17</v>
      </c>
      <c r="D137" s="7">
        <f t="shared" si="10"/>
        <v>44851</v>
      </c>
      <c r="E137" s="7">
        <f t="shared" si="11"/>
        <v>45200</v>
      </c>
      <c r="F137" s="5" t="str">
        <f>"2023/10/01"</f>
        <v>2023/10/01</v>
      </c>
      <c r="G137" s="6" t="s">
        <v>36</v>
      </c>
      <c r="H137" s="5">
        <v>1932</v>
      </c>
      <c r="I137" s="6" t="s">
        <v>8</v>
      </c>
      <c r="J137" s="6"/>
      <c r="K137" s="6" t="s">
        <v>1463</v>
      </c>
      <c r="L137" s="6"/>
    </row>
    <row r="138" spans="1:12" x14ac:dyDescent="0.35">
      <c r="A138" t="s">
        <v>1485</v>
      </c>
      <c r="B138" s="1" t="s">
        <v>1486</v>
      </c>
      <c r="C138" t="str">
        <f>"2022/10/17"</f>
        <v>2022/10/17</v>
      </c>
      <c r="D138" s="4">
        <f t="shared" si="10"/>
        <v>44851</v>
      </c>
      <c r="E138" s="4">
        <f t="shared" si="11"/>
        <v>45216</v>
      </c>
      <c r="F138" t="str">
        <f>"2023/10/17"</f>
        <v>2023/10/17</v>
      </c>
      <c r="G138" s="1" t="s">
        <v>36</v>
      </c>
      <c r="H138">
        <v>1975</v>
      </c>
      <c r="I138" s="1" t="s">
        <v>13</v>
      </c>
      <c r="J138" s="1" t="s">
        <v>8</v>
      </c>
      <c r="K138" s="1" t="s">
        <v>1487</v>
      </c>
    </row>
    <row r="139" spans="1:12" ht="29" x14ac:dyDescent="0.35">
      <c r="A139" t="s">
        <v>1233</v>
      </c>
      <c r="B139" s="1" t="s">
        <v>1234</v>
      </c>
      <c r="C139" t="str">
        <f>"2022/10/14"</f>
        <v>2022/10/14</v>
      </c>
      <c r="D139" s="4">
        <f t="shared" si="10"/>
        <v>44848</v>
      </c>
      <c r="E139" s="4">
        <f t="shared" si="11"/>
        <v>45213</v>
      </c>
      <c r="F139" t="str">
        <f>"2023/10/14"</f>
        <v>2023/10/14</v>
      </c>
      <c r="G139" s="1" t="s">
        <v>932</v>
      </c>
      <c r="H139">
        <v>2021</v>
      </c>
      <c r="I139" s="1" t="s">
        <v>12</v>
      </c>
      <c r="J139" s="1" t="s">
        <v>124</v>
      </c>
      <c r="K139" s="1" t="s">
        <v>1235</v>
      </c>
    </row>
    <row r="140" spans="1:12" x14ac:dyDescent="0.35">
      <c r="A140" t="s">
        <v>1236</v>
      </c>
      <c r="B140" s="1" t="s">
        <v>1237</v>
      </c>
      <c r="C140" t="str">
        <f>"2022/10/14"</f>
        <v>2022/10/14</v>
      </c>
      <c r="D140" s="4">
        <f t="shared" si="10"/>
        <v>44848</v>
      </c>
      <c r="E140" s="4">
        <f t="shared" si="11"/>
        <v>45213</v>
      </c>
      <c r="F140" t="str">
        <f>"2023/10/14"</f>
        <v>2023/10/14</v>
      </c>
      <c r="G140" s="1" t="s">
        <v>1238</v>
      </c>
      <c r="H140">
        <v>2021</v>
      </c>
      <c r="I140" s="1" t="s">
        <v>124</v>
      </c>
      <c r="J140" s="1" t="s">
        <v>13</v>
      </c>
      <c r="K140" s="1" t="s">
        <v>1239</v>
      </c>
    </row>
    <row r="141" spans="1:12" ht="29" x14ac:dyDescent="0.35">
      <c r="A141" t="s">
        <v>1243</v>
      </c>
      <c r="B141" s="1" t="s">
        <v>1244</v>
      </c>
      <c r="C141" t="str">
        <f>"2022/10/14"</f>
        <v>2022/10/14</v>
      </c>
      <c r="D141" s="4">
        <f t="shared" si="10"/>
        <v>44848</v>
      </c>
      <c r="E141" s="4">
        <f t="shared" si="11"/>
        <v>45579</v>
      </c>
      <c r="F141" t="str">
        <f>"2024/10/14"</f>
        <v>2024/10/14</v>
      </c>
      <c r="G141" s="1" t="s">
        <v>110</v>
      </c>
      <c r="H141">
        <v>2021</v>
      </c>
      <c r="I141" s="1" t="s">
        <v>13</v>
      </c>
      <c r="J141" s="1" t="s">
        <v>240</v>
      </c>
      <c r="K141" s="1" t="s">
        <v>111</v>
      </c>
    </row>
    <row r="142" spans="1:12" x14ac:dyDescent="0.35">
      <c r="A142" s="5" t="s">
        <v>1416</v>
      </c>
      <c r="B142" s="6" t="s">
        <v>1417</v>
      </c>
      <c r="C142" s="5" t="str">
        <f>"2022/10/10"</f>
        <v>2022/10/10</v>
      </c>
      <c r="D142" s="7">
        <f t="shared" si="10"/>
        <v>44844</v>
      </c>
      <c r="E142" s="7">
        <f t="shared" si="11"/>
        <v>45200</v>
      </c>
      <c r="F142" s="5" t="str">
        <f>"2023/10/01"</f>
        <v>2023/10/01</v>
      </c>
      <c r="G142" s="6" t="s">
        <v>61</v>
      </c>
      <c r="H142" s="5">
        <v>2011</v>
      </c>
      <c r="I142" s="6" t="s">
        <v>31</v>
      </c>
      <c r="J142" s="6" t="s">
        <v>32</v>
      </c>
      <c r="K142" s="6" t="s">
        <v>658</v>
      </c>
      <c r="L142" s="6"/>
    </row>
    <row r="143" spans="1:12" x14ac:dyDescent="0.35">
      <c r="A143" s="5" t="s">
        <v>1424</v>
      </c>
      <c r="B143" s="6" t="s">
        <v>1425</v>
      </c>
      <c r="C143" s="5" t="str">
        <f>"2022/10/10"</f>
        <v>2022/10/10</v>
      </c>
      <c r="D143" s="7">
        <f t="shared" si="10"/>
        <v>44844</v>
      </c>
      <c r="E143" s="7">
        <f t="shared" si="11"/>
        <v>45200</v>
      </c>
      <c r="F143" s="5" t="str">
        <f>"2023/10/01"</f>
        <v>2023/10/01</v>
      </c>
      <c r="G143" s="6" t="s">
        <v>395</v>
      </c>
      <c r="H143" s="5">
        <v>2011</v>
      </c>
      <c r="I143" s="6" t="s">
        <v>52</v>
      </c>
      <c r="J143" s="6" t="s">
        <v>124</v>
      </c>
      <c r="K143" s="6" t="s">
        <v>1239</v>
      </c>
      <c r="L143" s="6"/>
    </row>
    <row r="144" spans="1:12" x14ac:dyDescent="0.35">
      <c r="A144" s="5" t="s">
        <v>1455</v>
      </c>
      <c r="B144" s="6" t="s">
        <v>1456</v>
      </c>
      <c r="C144" s="5" t="str">
        <f>"2022/10/10"</f>
        <v>2022/10/10</v>
      </c>
      <c r="D144" s="7">
        <f t="shared" si="10"/>
        <v>44844</v>
      </c>
      <c r="E144" s="7">
        <f t="shared" si="11"/>
        <v>45200</v>
      </c>
      <c r="F144" s="5" t="str">
        <f>"2023/10/01"</f>
        <v>2023/10/01</v>
      </c>
      <c r="G144" s="6" t="s">
        <v>36</v>
      </c>
      <c r="H144" s="5">
        <v>1982</v>
      </c>
      <c r="I144" s="6" t="s">
        <v>12</v>
      </c>
      <c r="J144" s="6" t="s">
        <v>13</v>
      </c>
      <c r="K144" s="6" t="s">
        <v>1457</v>
      </c>
      <c r="L144" s="6"/>
    </row>
    <row r="145" spans="1:12" ht="29" x14ac:dyDescent="0.35">
      <c r="A145" s="5" t="s">
        <v>1458</v>
      </c>
      <c r="B145" s="6" t="s">
        <v>1459</v>
      </c>
      <c r="C145" s="5" t="str">
        <f>"2022/10/10"</f>
        <v>2022/10/10</v>
      </c>
      <c r="D145" s="7">
        <f t="shared" si="10"/>
        <v>44844</v>
      </c>
      <c r="E145" s="7">
        <f t="shared" si="11"/>
        <v>45200</v>
      </c>
      <c r="F145" s="5" t="str">
        <f>"2023/10/01"</f>
        <v>2023/10/01</v>
      </c>
      <c r="G145" s="6" t="s">
        <v>328</v>
      </c>
      <c r="H145" s="5">
        <v>1969</v>
      </c>
      <c r="I145" s="6" t="s">
        <v>13</v>
      </c>
      <c r="J145" s="6" t="s">
        <v>7</v>
      </c>
      <c r="K145" s="6" t="s">
        <v>1460</v>
      </c>
      <c r="L145" s="6"/>
    </row>
    <row r="146" spans="1:12" x14ac:dyDescent="0.35">
      <c r="A146" s="5" t="s">
        <v>1111</v>
      </c>
      <c r="B146" s="6" t="s">
        <v>1112</v>
      </c>
      <c r="C146" s="5" t="str">
        <f>"2022/10/03"</f>
        <v>2022/10/03</v>
      </c>
      <c r="D146" s="7">
        <f t="shared" si="10"/>
        <v>44837</v>
      </c>
      <c r="E146" s="7">
        <f t="shared" si="11"/>
        <v>45199</v>
      </c>
      <c r="F146" s="5" t="str">
        <f>"2023/09/30"</f>
        <v>2023/09/30</v>
      </c>
      <c r="G146" s="6" t="s">
        <v>268</v>
      </c>
      <c r="H146" s="5">
        <v>2019</v>
      </c>
      <c r="I146" s="6" t="s">
        <v>12</v>
      </c>
      <c r="J146" s="6" t="s">
        <v>13</v>
      </c>
      <c r="K146" s="6" t="s">
        <v>1113</v>
      </c>
      <c r="L146" s="6"/>
    </row>
    <row r="147" spans="1:12" x14ac:dyDescent="0.35">
      <c r="A147" s="5" t="s">
        <v>649</v>
      </c>
      <c r="B147" s="6" t="s">
        <v>650</v>
      </c>
      <c r="C147" s="5" t="str">
        <f>"2022/10/03"</f>
        <v>2022/10/03</v>
      </c>
      <c r="D147" s="7">
        <f t="shared" si="10"/>
        <v>44837</v>
      </c>
      <c r="E147" s="7">
        <f t="shared" si="11"/>
        <v>45200</v>
      </c>
      <c r="F147" s="5" t="str">
        <f>"2023/10/01"</f>
        <v>2023/10/01</v>
      </c>
      <c r="G147" s="6" t="s">
        <v>36</v>
      </c>
      <c r="H147" s="5">
        <v>2017</v>
      </c>
      <c r="I147" s="6" t="s">
        <v>13</v>
      </c>
      <c r="J147" s="6" t="s">
        <v>117</v>
      </c>
      <c r="K147" s="6" t="s">
        <v>651</v>
      </c>
      <c r="L147" s="6"/>
    </row>
    <row r="148" spans="1:12" x14ac:dyDescent="0.35">
      <c r="A148" s="5" t="s">
        <v>1418</v>
      </c>
      <c r="B148" s="6" t="s">
        <v>1419</v>
      </c>
      <c r="C148" s="5" t="str">
        <f>"2022/10/03"</f>
        <v>2022/10/03</v>
      </c>
      <c r="D148" s="7">
        <f t="shared" si="10"/>
        <v>44837</v>
      </c>
      <c r="E148" s="7">
        <f t="shared" si="11"/>
        <v>45200</v>
      </c>
      <c r="F148" s="5" t="str">
        <f>"2023/10/01"</f>
        <v>2023/10/01</v>
      </c>
      <c r="G148" s="6" t="s">
        <v>5</v>
      </c>
      <c r="H148" s="5">
        <v>1997</v>
      </c>
      <c r="I148" s="6" t="s">
        <v>41</v>
      </c>
      <c r="J148" s="6" t="s">
        <v>124</v>
      </c>
      <c r="K148" s="6" t="s">
        <v>1420</v>
      </c>
      <c r="L148" s="6"/>
    </row>
    <row r="149" spans="1:12" ht="29" x14ac:dyDescent="0.35">
      <c r="A149" s="5" t="s">
        <v>1421</v>
      </c>
      <c r="B149" s="6" t="s">
        <v>1422</v>
      </c>
      <c r="C149" s="5" t="str">
        <f>"2022/10/03"</f>
        <v>2022/10/03</v>
      </c>
      <c r="D149" s="7">
        <f t="shared" si="10"/>
        <v>44837</v>
      </c>
      <c r="E149" s="7">
        <f t="shared" si="11"/>
        <v>45200</v>
      </c>
      <c r="F149" s="5" t="str">
        <f>"2023/10/01"</f>
        <v>2023/10/01</v>
      </c>
      <c r="G149" s="6" t="s">
        <v>5</v>
      </c>
      <c r="H149" s="5">
        <v>2014</v>
      </c>
      <c r="I149" s="6" t="s">
        <v>52</v>
      </c>
      <c r="J149" s="6" t="s">
        <v>31</v>
      </c>
      <c r="K149" s="6" t="s">
        <v>1423</v>
      </c>
      <c r="L149" s="6" t="s">
        <v>658</v>
      </c>
    </row>
    <row r="150" spans="1:12" x14ac:dyDescent="0.35">
      <c r="A150" s="5" t="s">
        <v>1444</v>
      </c>
      <c r="B150" s="6" t="s">
        <v>1445</v>
      </c>
      <c r="C150" s="5" t="str">
        <f>"2022/10/03"</f>
        <v>2022/10/03</v>
      </c>
      <c r="D150" s="7">
        <f t="shared" si="10"/>
        <v>44837</v>
      </c>
      <c r="E150" s="7">
        <f t="shared" si="11"/>
        <v>45200</v>
      </c>
      <c r="F150" s="5" t="str">
        <f>"2023/10/01"</f>
        <v>2023/10/01</v>
      </c>
      <c r="G150" s="6" t="s">
        <v>61</v>
      </c>
      <c r="H150" s="5">
        <v>1977</v>
      </c>
      <c r="I150" s="6" t="s">
        <v>12</v>
      </c>
      <c r="J150" s="6" t="s">
        <v>13</v>
      </c>
      <c r="K150" s="6" t="s">
        <v>1446</v>
      </c>
      <c r="L150" s="6"/>
    </row>
    <row r="151" spans="1:12" x14ac:dyDescent="0.35">
      <c r="A151" s="5" t="s">
        <v>636</v>
      </c>
      <c r="B151" s="6" t="s">
        <v>637</v>
      </c>
      <c r="C151" s="5" t="str">
        <f t="shared" ref="C151:C163" si="12">"2022/10/01"</f>
        <v>2022/10/01</v>
      </c>
      <c r="D151" s="7">
        <f t="shared" si="10"/>
        <v>44835</v>
      </c>
      <c r="E151" s="7">
        <f t="shared" si="11"/>
        <v>45199</v>
      </c>
      <c r="F151" s="5" t="str">
        <f>"2023/09/30"</f>
        <v>2023/09/30</v>
      </c>
      <c r="G151" s="6" t="s">
        <v>27</v>
      </c>
      <c r="H151" s="5">
        <v>1999</v>
      </c>
      <c r="I151" s="6" t="s">
        <v>8</v>
      </c>
      <c r="J151" s="6"/>
      <c r="K151" s="6" t="s">
        <v>638</v>
      </c>
      <c r="L151" s="6"/>
    </row>
    <row r="152" spans="1:12" x14ac:dyDescent="0.35">
      <c r="A152" s="5" t="s">
        <v>388</v>
      </c>
      <c r="B152" s="6" t="s">
        <v>389</v>
      </c>
      <c r="C152" s="5" t="str">
        <f t="shared" si="12"/>
        <v>2022/10/01</v>
      </c>
      <c r="D152" s="7">
        <f t="shared" si="10"/>
        <v>44835</v>
      </c>
      <c r="E152" s="7">
        <f t="shared" si="11"/>
        <v>45200</v>
      </c>
      <c r="F152" s="5" t="str">
        <f t="shared" ref="F152:F162" si="13">"2023/10/01"</f>
        <v>2023/10/01</v>
      </c>
      <c r="G152" s="6" t="s">
        <v>36</v>
      </c>
      <c r="H152" s="5">
        <v>1976</v>
      </c>
      <c r="I152" s="6" t="s">
        <v>6</v>
      </c>
      <c r="J152" s="6" t="s">
        <v>124</v>
      </c>
      <c r="K152" s="6" t="s">
        <v>390</v>
      </c>
      <c r="L152" s="6"/>
    </row>
    <row r="153" spans="1:12" x14ac:dyDescent="0.35">
      <c r="A153" s="5" t="s">
        <v>391</v>
      </c>
      <c r="B153" s="6" t="s">
        <v>392</v>
      </c>
      <c r="C153" s="5" t="str">
        <f t="shared" si="12"/>
        <v>2022/10/01</v>
      </c>
      <c r="D153" s="7">
        <f t="shared" si="10"/>
        <v>44835</v>
      </c>
      <c r="E153" s="7">
        <f t="shared" si="11"/>
        <v>45200</v>
      </c>
      <c r="F153" s="5" t="str">
        <f t="shared" si="13"/>
        <v>2023/10/01</v>
      </c>
      <c r="G153" s="6" t="s">
        <v>36</v>
      </c>
      <c r="H153" s="5">
        <v>1974</v>
      </c>
      <c r="I153" s="6" t="s">
        <v>13</v>
      </c>
      <c r="J153" s="6"/>
      <c r="K153" s="6" t="s">
        <v>390</v>
      </c>
      <c r="L153" s="6"/>
    </row>
    <row r="154" spans="1:12" x14ac:dyDescent="0.35">
      <c r="A154" s="5" t="s">
        <v>408</v>
      </c>
      <c r="B154" s="6" t="s">
        <v>409</v>
      </c>
      <c r="C154" s="5" t="str">
        <f t="shared" si="12"/>
        <v>2022/10/01</v>
      </c>
      <c r="D154" s="7">
        <f t="shared" si="10"/>
        <v>44835</v>
      </c>
      <c r="E154" s="7">
        <f t="shared" si="11"/>
        <v>45200</v>
      </c>
      <c r="F154" s="5" t="str">
        <f t="shared" si="13"/>
        <v>2023/10/01</v>
      </c>
      <c r="G154" s="6" t="s">
        <v>36</v>
      </c>
      <c r="H154" s="5">
        <v>1968</v>
      </c>
      <c r="I154" s="6" t="s">
        <v>6</v>
      </c>
      <c r="J154" s="6" t="s">
        <v>13</v>
      </c>
      <c r="K154" s="6" t="s">
        <v>390</v>
      </c>
      <c r="L154" s="6"/>
    </row>
    <row r="155" spans="1:12" x14ac:dyDescent="0.35">
      <c r="A155" s="5" t="s">
        <v>459</v>
      </c>
      <c r="B155" s="6" t="s">
        <v>460</v>
      </c>
      <c r="C155" s="5" t="str">
        <f t="shared" si="12"/>
        <v>2022/10/01</v>
      </c>
      <c r="D155" s="7">
        <f t="shared" si="10"/>
        <v>44835</v>
      </c>
      <c r="E155" s="7">
        <f t="shared" si="11"/>
        <v>45200</v>
      </c>
      <c r="F155" s="5" t="str">
        <f t="shared" si="13"/>
        <v>2023/10/01</v>
      </c>
      <c r="G155" s="6" t="s">
        <v>36</v>
      </c>
      <c r="H155" s="5">
        <v>1977</v>
      </c>
      <c r="I155" s="6" t="s">
        <v>13</v>
      </c>
      <c r="J155" s="6"/>
      <c r="K155" s="6" t="s">
        <v>390</v>
      </c>
      <c r="L155" s="6"/>
    </row>
    <row r="156" spans="1:12" x14ac:dyDescent="0.35">
      <c r="A156" s="5" t="s">
        <v>531</v>
      </c>
      <c r="B156" s="6" t="s">
        <v>532</v>
      </c>
      <c r="C156" s="5" t="str">
        <f t="shared" si="12"/>
        <v>2022/10/01</v>
      </c>
      <c r="D156" s="7">
        <f t="shared" si="10"/>
        <v>44835</v>
      </c>
      <c r="E156" s="7">
        <f t="shared" si="11"/>
        <v>45200</v>
      </c>
      <c r="F156" s="5" t="str">
        <f t="shared" si="13"/>
        <v>2023/10/01</v>
      </c>
      <c r="G156" s="6" t="s">
        <v>36</v>
      </c>
      <c r="H156" s="5">
        <v>1959</v>
      </c>
      <c r="I156" s="6" t="s">
        <v>6</v>
      </c>
      <c r="J156" s="6" t="s">
        <v>13</v>
      </c>
      <c r="K156" s="6" t="s">
        <v>390</v>
      </c>
      <c r="L156" s="6"/>
    </row>
    <row r="157" spans="1:12" ht="29" x14ac:dyDescent="0.35">
      <c r="A157" s="5" t="s">
        <v>656</v>
      </c>
      <c r="B157" s="6" t="s">
        <v>657</v>
      </c>
      <c r="C157" s="5" t="str">
        <f t="shared" si="12"/>
        <v>2022/10/01</v>
      </c>
      <c r="D157" s="7">
        <f t="shared" si="10"/>
        <v>44835</v>
      </c>
      <c r="E157" s="7">
        <f t="shared" si="11"/>
        <v>45200</v>
      </c>
      <c r="F157" s="5" t="str">
        <f t="shared" si="13"/>
        <v>2023/10/01</v>
      </c>
      <c r="G157" s="6" t="s">
        <v>11</v>
      </c>
      <c r="H157" s="5">
        <v>1974</v>
      </c>
      <c r="I157" s="6" t="s">
        <v>13</v>
      </c>
      <c r="J157" s="6"/>
      <c r="K157" s="6" t="s">
        <v>658</v>
      </c>
      <c r="L157" s="6"/>
    </row>
    <row r="158" spans="1:12" ht="29" x14ac:dyDescent="0.35">
      <c r="A158" s="5" t="s">
        <v>681</v>
      </c>
      <c r="B158" s="6" t="s">
        <v>682</v>
      </c>
      <c r="C158" s="5" t="str">
        <f t="shared" si="12"/>
        <v>2022/10/01</v>
      </c>
      <c r="D158" s="7">
        <f t="shared" si="10"/>
        <v>44835</v>
      </c>
      <c r="E158" s="7">
        <f t="shared" si="11"/>
        <v>45200</v>
      </c>
      <c r="F158" s="5" t="str">
        <f t="shared" si="13"/>
        <v>2023/10/01</v>
      </c>
      <c r="G158" s="6" t="s">
        <v>11</v>
      </c>
      <c r="H158" s="5">
        <v>1984</v>
      </c>
      <c r="I158" s="6" t="s">
        <v>6</v>
      </c>
      <c r="J158" s="6" t="s">
        <v>13</v>
      </c>
      <c r="K158" s="6" t="s">
        <v>658</v>
      </c>
      <c r="L158" s="6"/>
    </row>
    <row r="159" spans="1:12" ht="29" x14ac:dyDescent="0.35">
      <c r="A159" s="5" t="s">
        <v>689</v>
      </c>
      <c r="B159" s="6" t="s">
        <v>690</v>
      </c>
      <c r="C159" s="5" t="str">
        <f t="shared" si="12"/>
        <v>2022/10/01</v>
      </c>
      <c r="D159" s="7">
        <f t="shared" si="10"/>
        <v>44835</v>
      </c>
      <c r="E159" s="7">
        <f t="shared" si="11"/>
        <v>45200</v>
      </c>
      <c r="F159" s="5" t="str">
        <f t="shared" si="13"/>
        <v>2023/10/01</v>
      </c>
      <c r="G159" s="6" t="s">
        <v>11</v>
      </c>
      <c r="H159" s="5">
        <v>1976</v>
      </c>
      <c r="I159" s="6" t="s">
        <v>13</v>
      </c>
      <c r="J159" s="6"/>
      <c r="K159" s="6" t="s">
        <v>658</v>
      </c>
      <c r="L159" s="6"/>
    </row>
    <row r="160" spans="1:12" ht="29" x14ac:dyDescent="0.35">
      <c r="A160" s="5" t="s">
        <v>691</v>
      </c>
      <c r="B160" s="6" t="s">
        <v>692</v>
      </c>
      <c r="C160" s="5" t="str">
        <f t="shared" si="12"/>
        <v>2022/10/01</v>
      </c>
      <c r="D160" s="7">
        <f t="shared" si="10"/>
        <v>44835</v>
      </c>
      <c r="E160" s="7">
        <f t="shared" si="11"/>
        <v>45200</v>
      </c>
      <c r="F160" s="5" t="str">
        <f t="shared" si="13"/>
        <v>2023/10/01</v>
      </c>
      <c r="G160" s="6" t="s">
        <v>11</v>
      </c>
      <c r="H160" s="5">
        <v>1978</v>
      </c>
      <c r="I160" s="6" t="s">
        <v>124</v>
      </c>
      <c r="J160" s="6" t="s">
        <v>13</v>
      </c>
      <c r="K160" s="6" t="s">
        <v>658</v>
      </c>
      <c r="L160" s="6"/>
    </row>
    <row r="161" spans="1:12" ht="29" x14ac:dyDescent="0.35">
      <c r="A161" s="5" t="s">
        <v>696</v>
      </c>
      <c r="B161" s="6" t="s">
        <v>697</v>
      </c>
      <c r="C161" s="5" t="str">
        <f t="shared" si="12"/>
        <v>2022/10/01</v>
      </c>
      <c r="D161" s="7">
        <f t="shared" si="10"/>
        <v>44835</v>
      </c>
      <c r="E161" s="7">
        <f t="shared" si="11"/>
        <v>45200</v>
      </c>
      <c r="F161" s="5" t="str">
        <f t="shared" si="13"/>
        <v>2023/10/01</v>
      </c>
      <c r="G161" s="6" t="s">
        <v>11</v>
      </c>
      <c r="H161" s="5">
        <v>1987</v>
      </c>
      <c r="I161" s="6" t="s">
        <v>6</v>
      </c>
      <c r="J161" s="6" t="s">
        <v>13</v>
      </c>
      <c r="K161" s="6" t="s">
        <v>658</v>
      </c>
      <c r="L161" s="6"/>
    </row>
    <row r="162" spans="1:12" x14ac:dyDescent="0.35">
      <c r="A162" s="5" t="s">
        <v>698</v>
      </c>
      <c r="B162" s="6" t="s">
        <v>699</v>
      </c>
      <c r="C162" s="5" t="str">
        <f t="shared" si="12"/>
        <v>2022/10/01</v>
      </c>
      <c r="D162" s="7">
        <f t="shared" si="10"/>
        <v>44835</v>
      </c>
      <c r="E162" s="7">
        <f t="shared" si="11"/>
        <v>45200</v>
      </c>
      <c r="F162" s="5" t="str">
        <f t="shared" si="13"/>
        <v>2023/10/01</v>
      </c>
      <c r="G162" s="6" t="s">
        <v>87</v>
      </c>
      <c r="H162" s="5">
        <v>1999</v>
      </c>
      <c r="I162" s="6" t="s">
        <v>31</v>
      </c>
      <c r="J162" s="6" t="s">
        <v>32</v>
      </c>
      <c r="K162" s="6" t="s">
        <v>658</v>
      </c>
      <c r="L162" s="6"/>
    </row>
    <row r="163" spans="1:12" x14ac:dyDescent="0.35">
      <c r="A163" t="s">
        <v>1186</v>
      </c>
      <c r="B163" s="1" t="s">
        <v>1187</v>
      </c>
      <c r="C163" t="str">
        <f t="shared" si="12"/>
        <v>2022/10/01</v>
      </c>
      <c r="D163" s="4">
        <f t="shared" si="10"/>
        <v>44835</v>
      </c>
      <c r="E163" s="4">
        <f t="shared" si="11"/>
        <v>45350</v>
      </c>
      <c r="F163" t="str">
        <f>"2024/02/28"</f>
        <v>2024/02/28</v>
      </c>
      <c r="G163" s="1" t="s">
        <v>289</v>
      </c>
      <c r="H163">
        <v>1996</v>
      </c>
      <c r="I163" s="1" t="s">
        <v>13</v>
      </c>
      <c r="K163" s="1" t="s">
        <v>290</v>
      </c>
    </row>
    <row r="164" spans="1:12" x14ac:dyDescent="0.35">
      <c r="A164" s="5" t="s">
        <v>1408</v>
      </c>
      <c r="B164" s="6" t="s">
        <v>1409</v>
      </c>
      <c r="C164" s="5" t="str">
        <f>"2022/09/29"</f>
        <v>2022/09/29</v>
      </c>
      <c r="D164" s="7">
        <f t="shared" si="10"/>
        <v>44833</v>
      </c>
      <c r="E164" s="7">
        <f t="shared" si="11"/>
        <v>45192</v>
      </c>
      <c r="F164" s="5" t="str">
        <f>"2023/09/23"</f>
        <v>2023/09/23</v>
      </c>
      <c r="G164" s="6" t="s">
        <v>815</v>
      </c>
      <c r="H164" s="5">
        <v>2021</v>
      </c>
      <c r="I164" s="6" t="s">
        <v>282</v>
      </c>
      <c r="J164" s="6" t="s">
        <v>13</v>
      </c>
      <c r="K164" s="6" t="s">
        <v>1410</v>
      </c>
      <c r="L164" s="6"/>
    </row>
    <row r="165" spans="1:12" x14ac:dyDescent="0.35">
      <c r="A165" t="s">
        <v>1369</v>
      </c>
      <c r="B165" s="1" t="s">
        <v>1370</v>
      </c>
      <c r="C165" t="str">
        <f>"2022/09/29"</f>
        <v>2022/09/29</v>
      </c>
      <c r="D165" s="4">
        <f t="shared" si="10"/>
        <v>44833</v>
      </c>
      <c r="E165" s="4">
        <f t="shared" si="11"/>
        <v>45383</v>
      </c>
      <c r="F165" t="str">
        <f>"2024/04/01"</f>
        <v>2024/04/01</v>
      </c>
      <c r="G165" s="1" t="s">
        <v>61</v>
      </c>
      <c r="H165">
        <v>2019</v>
      </c>
      <c r="I165" s="1" t="s">
        <v>7</v>
      </c>
      <c r="J165" s="1" t="s">
        <v>8</v>
      </c>
      <c r="K165" s="1" t="s">
        <v>1371</v>
      </c>
    </row>
    <row r="166" spans="1:12" x14ac:dyDescent="0.35">
      <c r="A166" t="s">
        <v>747</v>
      </c>
      <c r="B166" s="1" t="s">
        <v>748</v>
      </c>
      <c r="C166" t="str">
        <f>"2022/09/26"</f>
        <v>2022/09/26</v>
      </c>
      <c r="D166" s="4">
        <f t="shared" si="10"/>
        <v>44830</v>
      </c>
      <c r="E166" s="4">
        <f t="shared" si="11"/>
        <v>47785</v>
      </c>
      <c r="F166" t="str">
        <f>"2030/10/29"</f>
        <v>2030/10/29</v>
      </c>
      <c r="G166" s="1" t="s">
        <v>49</v>
      </c>
      <c r="H166">
        <v>1963</v>
      </c>
      <c r="I166" s="1" t="s">
        <v>13</v>
      </c>
      <c r="K166" s="1" t="s">
        <v>51</v>
      </c>
    </row>
    <row r="167" spans="1:12" x14ac:dyDescent="0.35">
      <c r="A167" t="s">
        <v>753</v>
      </c>
      <c r="B167" s="1" t="s">
        <v>754</v>
      </c>
      <c r="C167" t="str">
        <f>"2022/09/26"</f>
        <v>2022/09/26</v>
      </c>
      <c r="D167" s="4">
        <f t="shared" si="10"/>
        <v>44830</v>
      </c>
      <c r="E167" s="4">
        <f t="shared" si="11"/>
        <v>47785</v>
      </c>
      <c r="F167" t="str">
        <f>"2030/10/29"</f>
        <v>2030/10/29</v>
      </c>
      <c r="G167" s="1" t="s">
        <v>49</v>
      </c>
      <c r="H167">
        <v>1961</v>
      </c>
      <c r="I167" s="1" t="s">
        <v>13</v>
      </c>
      <c r="K167" s="1" t="s">
        <v>51</v>
      </c>
    </row>
    <row r="168" spans="1:12" x14ac:dyDescent="0.35">
      <c r="A168" t="s">
        <v>757</v>
      </c>
      <c r="B168" s="1" t="s">
        <v>758</v>
      </c>
      <c r="C168" t="str">
        <f>"2022/09/26"</f>
        <v>2022/09/26</v>
      </c>
      <c r="D168" s="4">
        <f t="shared" si="10"/>
        <v>44830</v>
      </c>
      <c r="E168" s="4">
        <f t="shared" si="11"/>
        <v>47786</v>
      </c>
      <c r="F168" t="str">
        <f>"2030/10/30"</f>
        <v>2030/10/30</v>
      </c>
      <c r="G168" s="1" t="s">
        <v>49</v>
      </c>
      <c r="H168">
        <v>1962</v>
      </c>
      <c r="I168" s="1" t="s">
        <v>13</v>
      </c>
      <c r="K168" s="1" t="s">
        <v>51</v>
      </c>
    </row>
    <row r="169" spans="1:12" x14ac:dyDescent="0.35">
      <c r="A169" s="5" t="s">
        <v>1080</v>
      </c>
      <c r="B169" s="6" t="s">
        <v>1081</v>
      </c>
      <c r="C169" s="5" t="str">
        <f>"2022/09/23"</f>
        <v>2022/09/23</v>
      </c>
      <c r="D169" s="7">
        <f t="shared" si="10"/>
        <v>44827</v>
      </c>
      <c r="E169" s="7">
        <f t="shared" si="11"/>
        <v>45170</v>
      </c>
      <c r="F169" s="5" t="str">
        <f>"2023/09/01"</f>
        <v>2023/09/01</v>
      </c>
      <c r="G169" s="6" t="s">
        <v>188</v>
      </c>
      <c r="H169" s="5">
        <v>2021</v>
      </c>
      <c r="I169" s="6" t="s">
        <v>13</v>
      </c>
      <c r="J169" s="6" t="s">
        <v>8</v>
      </c>
      <c r="K169" s="6" t="s">
        <v>1082</v>
      </c>
      <c r="L169" s="6"/>
    </row>
    <row r="170" spans="1:12" x14ac:dyDescent="0.35">
      <c r="A170" s="5" t="s">
        <v>1451</v>
      </c>
      <c r="B170" s="6" t="s">
        <v>1452</v>
      </c>
      <c r="C170" s="5" t="str">
        <f>"2022/09/23"</f>
        <v>2022/09/23</v>
      </c>
      <c r="D170" s="7">
        <f t="shared" si="10"/>
        <v>44827</v>
      </c>
      <c r="E170" s="7">
        <f t="shared" si="11"/>
        <v>45170</v>
      </c>
      <c r="F170" s="5" t="str">
        <f>"2023/09/01"</f>
        <v>2023/09/01</v>
      </c>
      <c r="G170" s="6" t="s">
        <v>1453</v>
      </c>
      <c r="H170" s="5">
        <v>2019</v>
      </c>
      <c r="I170" s="6" t="s">
        <v>124</v>
      </c>
      <c r="J170" s="6" t="s">
        <v>13</v>
      </c>
      <c r="K170" s="6" t="s">
        <v>1454</v>
      </c>
      <c r="L170" s="6"/>
    </row>
    <row r="171" spans="1:12" x14ac:dyDescent="0.35">
      <c r="A171" s="5" t="s">
        <v>1138</v>
      </c>
      <c r="B171" s="6" t="s">
        <v>1139</v>
      </c>
      <c r="C171" s="5" t="str">
        <f>"2022/09/23"</f>
        <v>2022/09/23</v>
      </c>
      <c r="D171" s="7">
        <f t="shared" si="10"/>
        <v>44827</v>
      </c>
      <c r="E171" s="7">
        <f t="shared" si="11"/>
        <v>45192</v>
      </c>
      <c r="F171" s="5" t="str">
        <f>"2023/09/23"</f>
        <v>2023/09/23</v>
      </c>
      <c r="G171" s="6" t="s">
        <v>61</v>
      </c>
      <c r="H171" s="5">
        <v>2021</v>
      </c>
      <c r="I171" s="6" t="s">
        <v>13</v>
      </c>
      <c r="J171" s="6" t="s">
        <v>22</v>
      </c>
      <c r="K171" s="6" t="s">
        <v>1140</v>
      </c>
      <c r="L171" s="6"/>
    </row>
    <row r="172" spans="1:12" x14ac:dyDescent="0.35">
      <c r="A172" t="s">
        <v>351</v>
      </c>
      <c r="B172" s="1" t="s">
        <v>352</v>
      </c>
      <c r="C172" t="str">
        <f>"2022/09/19"</f>
        <v>2022/09/19</v>
      </c>
      <c r="D172" s="4">
        <f t="shared" si="10"/>
        <v>44823</v>
      </c>
      <c r="E172" s="4">
        <f t="shared" si="11"/>
        <v>72866</v>
      </c>
      <c r="F172" t="str">
        <f>"2099/06/30"</f>
        <v>2099/06/30</v>
      </c>
      <c r="G172" s="1" t="s">
        <v>61</v>
      </c>
      <c r="H172">
        <v>1982</v>
      </c>
      <c r="I172" s="1" t="s">
        <v>13</v>
      </c>
      <c r="K172" s="1" t="s">
        <v>353</v>
      </c>
    </row>
    <row r="173" spans="1:12" x14ac:dyDescent="0.35">
      <c r="A173" s="5" t="s">
        <v>991</v>
      </c>
      <c r="B173" s="6" t="s">
        <v>992</v>
      </c>
      <c r="C173" s="5" t="str">
        <f>"2022/09/15"</f>
        <v>2022/09/15</v>
      </c>
      <c r="D173" s="7">
        <f t="shared" si="10"/>
        <v>44819</v>
      </c>
      <c r="E173" s="7">
        <f t="shared" si="11"/>
        <v>45170</v>
      </c>
      <c r="F173" s="5" t="str">
        <f>"2023/09/01"</f>
        <v>2023/09/01</v>
      </c>
      <c r="G173" s="6" t="s">
        <v>36</v>
      </c>
      <c r="H173" s="5">
        <v>1973</v>
      </c>
      <c r="I173" s="6" t="s">
        <v>7</v>
      </c>
      <c r="J173" s="6" t="s">
        <v>8</v>
      </c>
      <c r="K173" s="6" t="s">
        <v>993</v>
      </c>
      <c r="L173" s="6"/>
    </row>
    <row r="174" spans="1:12" x14ac:dyDescent="0.35">
      <c r="A174" s="5" t="s">
        <v>1426</v>
      </c>
      <c r="B174" s="6" t="s">
        <v>1427</v>
      </c>
      <c r="C174" s="5" t="str">
        <f>"2022/09/15"</f>
        <v>2022/09/15</v>
      </c>
      <c r="D174" s="7">
        <f t="shared" si="10"/>
        <v>44819</v>
      </c>
      <c r="E174" s="7">
        <f t="shared" si="11"/>
        <v>45170</v>
      </c>
      <c r="F174" s="5" t="str">
        <f>"2023/09/01"</f>
        <v>2023/09/01</v>
      </c>
      <c r="G174" s="6" t="s">
        <v>587</v>
      </c>
      <c r="H174" s="5">
        <v>2004</v>
      </c>
      <c r="I174" s="6" t="s">
        <v>13</v>
      </c>
      <c r="J174" s="6" t="s">
        <v>18</v>
      </c>
      <c r="K174" s="6" t="s">
        <v>1428</v>
      </c>
      <c r="L174" s="6"/>
    </row>
    <row r="175" spans="1:12" x14ac:dyDescent="0.35">
      <c r="A175" s="5" t="s">
        <v>759</v>
      </c>
      <c r="B175" s="6" t="s">
        <v>760</v>
      </c>
      <c r="C175" s="5" t="str">
        <f>"2022/09/12"</f>
        <v>2022/09/12</v>
      </c>
      <c r="D175" s="7">
        <f t="shared" si="10"/>
        <v>44816</v>
      </c>
      <c r="E175" s="7">
        <f t="shared" si="11"/>
        <v>45169</v>
      </c>
      <c r="F175" s="5" t="str">
        <f>"2023/08/31"</f>
        <v>2023/08/31</v>
      </c>
      <c r="G175" s="6" t="s">
        <v>36</v>
      </c>
      <c r="H175" s="5">
        <v>1979</v>
      </c>
      <c r="I175" s="6" t="s">
        <v>12</v>
      </c>
      <c r="J175" s="6" t="s">
        <v>13</v>
      </c>
      <c r="K175" s="6" t="s">
        <v>761</v>
      </c>
      <c r="L175" s="6"/>
    </row>
    <row r="176" spans="1:12" x14ac:dyDescent="0.35">
      <c r="A176" s="5" t="s">
        <v>1367</v>
      </c>
      <c r="B176" s="6" t="s">
        <v>1368</v>
      </c>
      <c r="C176" s="5" t="str">
        <f>"2022/09/12"</f>
        <v>2022/09/12</v>
      </c>
      <c r="D176" s="7">
        <f t="shared" si="10"/>
        <v>44816</v>
      </c>
      <c r="E176" s="7">
        <f t="shared" si="11"/>
        <v>45170</v>
      </c>
      <c r="F176" s="5" t="str">
        <f>"2023/09/01"</f>
        <v>2023/09/01</v>
      </c>
      <c r="G176" s="6" t="s">
        <v>395</v>
      </c>
      <c r="H176" s="5">
        <v>2002</v>
      </c>
      <c r="I176" s="6" t="s">
        <v>13</v>
      </c>
      <c r="J176" s="6" t="s">
        <v>22</v>
      </c>
      <c r="K176" s="6" t="s">
        <v>720</v>
      </c>
      <c r="L176" s="6"/>
    </row>
    <row r="177" spans="1:12" x14ac:dyDescent="0.35">
      <c r="A177" s="5" t="s">
        <v>1375</v>
      </c>
      <c r="B177" s="6" t="s">
        <v>1376</v>
      </c>
      <c r="C177" s="5" t="str">
        <f>"2022/09/12"</f>
        <v>2022/09/12</v>
      </c>
      <c r="D177" s="7">
        <f t="shared" si="10"/>
        <v>44816</v>
      </c>
      <c r="E177" s="7">
        <f t="shared" si="11"/>
        <v>45170</v>
      </c>
      <c r="F177" s="5" t="str">
        <f>"2023/09/01"</f>
        <v>2023/09/01</v>
      </c>
      <c r="G177" s="6" t="s">
        <v>395</v>
      </c>
      <c r="H177" s="5">
        <v>2011</v>
      </c>
      <c r="I177" s="6" t="s">
        <v>124</v>
      </c>
      <c r="J177" s="6" t="s">
        <v>13</v>
      </c>
      <c r="K177" s="6" t="s">
        <v>720</v>
      </c>
      <c r="L177" s="6"/>
    </row>
    <row r="178" spans="1:12" x14ac:dyDescent="0.35">
      <c r="A178" t="s">
        <v>119</v>
      </c>
      <c r="B178" s="1" t="s">
        <v>120</v>
      </c>
      <c r="C178" t="str">
        <f>"2022/09/12"</f>
        <v>2022/09/12</v>
      </c>
      <c r="D178" s="4">
        <f t="shared" si="10"/>
        <v>44816</v>
      </c>
      <c r="E178" s="4">
        <f t="shared" si="11"/>
        <v>45444</v>
      </c>
      <c r="F178" t="str">
        <f>"2024/06/01"</f>
        <v>2024/06/01</v>
      </c>
      <c r="G178" s="1" t="s">
        <v>61</v>
      </c>
      <c r="H178">
        <v>2011</v>
      </c>
      <c r="I178" s="1" t="s">
        <v>13</v>
      </c>
      <c r="J178" s="1" t="s">
        <v>22</v>
      </c>
      <c r="K178" s="1" t="s">
        <v>121</v>
      </c>
    </row>
    <row r="179" spans="1:12" x14ac:dyDescent="0.35">
      <c r="A179" t="s">
        <v>372</v>
      </c>
      <c r="B179" s="1" t="s">
        <v>373</v>
      </c>
      <c r="C179" t="str">
        <f>"2022/09/12"</f>
        <v>2022/09/12</v>
      </c>
      <c r="D179" s="4">
        <f t="shared" si="10"/>
        <v>44816</v>
      </c>
      <c r="E179" s="4">
        <f t="shared" si="11"/>
        <v>45444</v>
      </c>
      <c r="F179" t="str">
        <f>"2024/06/01"</f>
        <v>2024/06/01</v>
      </c>
      <c r="G179" s="1" t="s">
        <v>61</v>
      </c>
      <c r="H179">
        <v>2009</v>
      </c>
      <c r="I179" s="1" t="s">
        <v>13</v>
      </c>
      <c r="K179" s="1" t="s">
        <v>121</v>
      </c>
    </row>
    <row r="180" spans="1:12" ht="29" x14ac:dyDescent="0.35">
      <c r="A180" s="5" t="s">
        <v>1377</v>
      </c>
      <c r="B180" s="6" t="s">
        <v>1378</v>
      </c>
      <c r="C180" s="5" t="str">
        <f>"2022/09/08"</f>
        <v>2022/09/08</v>
      </c>
      <c r="D180" s="7">
        <f t="shared" si="10"/>
        <v>44812</v>
      </c>
      <c r="E180" s="7">
        <f t="shared" si="11"/>
        <v>45170</v>
      </c>
      <c r="F180" s="5" t="str">
        <f>"2023/09/01"</f>
        <v>2023/09/01</v>
      </c>
      <c r="G180" s="6" t="s">
        <v>395</v>
      </c>
      <c r="H180" s="5">
        <v>2021</v>
      </c>
      <c r="I180" s="6" t="s">
        <v>52</v>
      </c>
      <c r="J180" s="6" t="s">
        <v>31</v>
      </c>
      <c r="K180" s="6" t="s">
        <v>1379</v>
      </c>
      <c r="L180" s="6"/>
    </row>
    <row r="181" spans="1:12" x14ac:dyDescent="0.35">
      <c r="A181" s="5" t="s">
        <v>1380</v>
      </c>
      <c r="B181" s="6" t="s">
        <v>1381</v>
      </c>
      <c r="C181" s="5" t="str">
        <f>"2022/09/08"</f>
        <v>2022/09/08</v>
      </c>
      <c r="D181" s="7">
        <f t="shared" si="10"/>
        <v>44812</v>
      </c>
      <c r="E181" s="7">
        <f t="shared" si="11"/>
        <v>45170</v>
      </c>
      <c r="F181" s="5" t="str">
        <f>"2023/09/01"</f>
        <v>2023/09/01</v>
      </c>
      <c r="G181" s="6" t="s">
        <v>395</v>
      </c>
      <c r="H181" s="5">
        <v>2015</v>
      </c>
      <c r="I181" s="6" t="s">
        <v>31</v>
      </c>
      <c r="J181" s="6" t="s">
        <v>18</v>
      </c>
      <c r="K181" s="6" t="s">
        <v>1379</v>
      </c>
      <c r="L181" s="6"/>
    </row>
    <row r="182" spans="1:12" x14ac:dyDescent="0.35">
      <c r="A182" t="s">
        <v>1440</v>
      </c>
      <c r="B182" s="1" t="s">
        <v>1441</v>
      </c>
      <c r="C182" t="str">
        <f>"2022/09/08"</f>
        <v>2022/09/08</v>
      </c>
      <c r="D182" s="4">
        <f t="shared" si="10"/>
        <v>44812</v>
      </c>
      <c r="E182" s="4">
        <f t="shared" si="11"/>
        <v>47118</v>
      </c>
      <c r="F182" t="str">
        <f>"2028/12/31"</f>
        <v>2028/12/31</v>
      </c>
      <c r="G182" s="1" t="s">
        <v>5</v>
      </c>
      <c r="H182">
        <v>1964</v>
      </c>
      <c r="I182" s="1" t="s">
        <v>13</v>
      </c>
      <c r="J182" s="1" t="s">
        <v>22</v>
      </c>
      <c r="K182" s="1" t="s">
        <v>1266</v>
      </c>
    </row>
    <row r="183" spans="1:12" x14ac:dyDescent="0.35">
      <c r="A183" t="s">
        <v>1442</v>
      </c>
      <c r="B183" s="1" t="s">
        <v>1443</v>
      </c>
      <c r="C183" t="str">
        <f>"2022/09/08"</f>
        <v>2022/09/08</v>
      </c>
      <c r="D183" s="4">
        <f t="shared" si="10"/>
        <v>44812</v>
      </c>
      <c r="E183" s="4">
        <f t="shared" si="11"/>
        <v>47118</v>
      </c>
      <c r="F183" t="str">
        <f>"2028/12/31"</f>
        <v>2028/12/31</v>
      </c>
      <c r="G183" s="1" t="s">
        <v>5</v>
      </c>
      <c r="H183">
        <v>1979</v>
      </c>
      <c r="I183" s="1" t="s">
        <v>13</v>
      </c>
      <c r="J183" s="1" t="s">
        <v>22</v>
      </c>
      <c r="K183" s="1" t="s">
        <v>1266</v>
      </c>
    </row>
    <row r="184" spans="1:12" x14ac:dyDescent="0.35">
      <c r="A184" t="s">
        <v>919</v>
      </c>
      <c r="B184" s="1" t="s">
        <v>920</v>
      </c>
      <c r="C184" t="str">
        <f>"2022/09/06"</f>
        <v>2022/09/06</v>
      </c>
      <c r="D184" s="4">
        <f t="shared" si="10"/>
        <v>44810</v>
      </c>
      <c r="E184" s="4">
        <f t="shared" si="11"/>
        <v>48180</v>
      </c>
      <c r="F184" t="str">
        <f>"2031/11/28"</f>
        <v>2031/11/28</v>
      </c>
      <c r="G184" s="1" t="s">
        <v>61</v>
      </c>
      <c r="H184">
        <v>2006</v>
      </c>
      <c r="I184" s="1" t="s">
        <v>41</v>
      </c>
      <c r="J184" s="1" t="s">
        <v>50</v>
      </c>
      <c r="K184" s="1" t="s">
        <v>921</v>
      </c>
    </row>
    <row r="185" spans="1:12" x14ac:dyDescent="0.35">
      <c r="A185" t="s">
        <v>206</v>
      </c>
      <c r="B185" s="1" t="s">
        <v>207</v>
      </c>
      <c r="C185" t="str">
        <f>"2022/09/05"</f>
        <v>2022/09/05</v>
      </c>
      <c r="D185" s="4">
        <f t="shared" si="10"/>
        <v>44809</v>
      </c>
      <c r="E185" s="4">
        <f t="shared" si="11"/>
        <v>45444</v>
      </c>
      <c r="F185" t="str">
        <f>"2024/06/01"</f>
        <v>2024/06/01</v>
      </c>
      <c r="G185" s="1" t="s">
        <v>5</v>
      </c>
      <c r="H185">
        <v>2013</v>
      </c>
      <c r="I185" s="1" t="s">
        <v>13</v>
      </c>
      <c r="J185" s="1" t="s">
        <v>50</v>
      </c>
      <c r="K185" s="1" t="s">
        <v>208</v>
      </c>
    </row>
    <row r="186" spans="1:12" x14ac:dyDescent="0.35">
      <c r="A186" t="s">
        <v>1317</v>
      </c>
      <c r="B186" s="1" t="s">
        <v>1318</v>
      </c>
      <c r="C186" t="str">
        <f>"2022/09/05"</f>
        <v>2022/09/05</v>
      </c>
      <c r="D186" s="4">
        <f t="shared" si="10"/>
        <v>44809</v>
      </c>
      <c r="E186" s="4">
        <f t="shared" si="11"/>
        <v>45444</v>
      </c>
      <c r="F186" t="str">
        <f>"2024/06/01"</f>
        <v>2024/06/01</v>
      </c>
      <c r="G186" s="1" t="s">
        <v>5</v>
      </c>
      <c r="H186">
        <v>2009</v>
      </c>
      <c r="I186" s="1" t="s">
        <v>13</v>
      </c>
      <c r="J186" s="1" t="s">
        <v>18</v>
      </c>
      <c r="K186" s="1" t="s">
        <v>208</v>
      </c>
    </row>
    <row r="187" spans="1:12" x14ac:dyDescent="0.35">
      <c r="A187" t="s">
        <v>1438</v>
      </c>
      <c r="B187" s="1" t="s">
        <v>1439</v>
      </c>
      <c r="C187" t="str">
        <f>"2022/09/01"</f>
        <v>2022/09/01</v>
      </c>
      <c r="D187" s="4">
        <f t="shared" si="10"/>
        <v>44805</v>
      </c>
      <c r="E187" s="4">
        <f t="shared" si="11"/>
        <v>47118</v>
      </c>
      <c r="F187" t="str">
        <f>"2028/12/31"</f>
        <v>2028/12/31</v>
      </c>
      <c r="G187" s="1" t="s">
        <v>5</v>
      </c>
      <c r="H187">
        <v>1959</v>
      </c>
      <c r="I187" s="1" t="s">
        <v>124</v>
      </c>
      <c r="J187" s="1" t="s">
        <v>13</v>
      </c>
      <c r="K187" s="1" t="s">
        <v>1266</v>
      </c>
    </row>
    <row r="188" spans="1:12" x14ac:dyDescent="0.35">
      <c r="A188" t="s">
        <v>1480</v>
      </c>
      <c r="B188" s="1" t="s">
        <v>1481</v>
      </c>
      <c r="C188" t="str">
        <f>"2022/09/01"</f>
        <v>2022/09/01</v>
      </c>
      <c r="D188" s="4">
        <f t="shared" si="10"/>
        <v>44805</v>
      </c>
      <c r="E188" s="4">
        <f t="shared" si="11"/>
        <v>47118</v>
      </c>
      <c r="F188" t="str">
        <f>"2028/12/31"</f>
        <v>2028/12/31</v>
      </c>
      <c r="G188" s="1" t="s">
        <v>5</v>
      </c>
      <c r="H188">
        <v>1962</v>
      </c>
      <c r="I188" s="1" t="s">
        <v>13</v>
      </c>
      <c r="K188" s="1" t="s">
        <v>1266</v>
      </c>
    </row>
    <row r="189" spans="1:12" x14ac:dyDescent="0.35">
      <c r="A189" s="5" t="s">
        <v>1221</v>
      </c>
      <c r="B189" s="6" t="s">
        <v>1222</v>
      </c>
      <c r="C189" s="5" t="str">
        <f>"2022/08/29"</f>
        <v>2022/08/29</v>
      </c>
      <c r="D189" s="7">
        <f t="shared" si="10"/>
        <v>44802</v>
      </c>
      <c r="E189" s="7">
        <f t="shared" si="11"/>
        <v>45167</v>
      </c>
      <c r="F189" s="5" t="str">
        <f>"2023/08/29"</f>
        <v>2023/08/29</v>
      </c>
      <c r="G189" s="6" t="s">
        <v>61</v>
      </c>
      <c r="H189" s="5">
        <v>2022</v>
      </c>
      <c r="I189" s="6" t="s">
        <v>12</v>
      </c>
      <c r="J189" s="6" t="s">
        <v>13</v>
      </c>
      <c r="K189" s="6" t="s">
        <v>1223</v>
      </c>
      <c r="L189" s="6"/>
    </row>
    <row r="190" spans="1:12" x14ac:dyDescent="0.35">
      <c r="A190" t="s">
        <v>1347</v>
      </c>
      <c r="B190" s="1" t="s">
        <v>1348</v>
      </c>
      <c r="C190" t="str">
        <f>"2022/08/15"</f>
        <v>2022/08/15</v>
      </c>
      <c r="D190" s="4">
        <f t="shared" si="10"/>
        <v>44788</v>
      </c>
      <c r="E190" s="4">
        <f t="shared" si="11"/>
        <v>45505</v>
      </c>
      <c r="F190" t="str">
        <f>"2024/08/01"</f>
        <v>2024/08/01</v>
      </c>
      <c r="G190" s="1" t="s">
        <v>36</v>
      </c>
      <c r="H190">
        <v>1979</v>
      </c>
      <c r="I190" s="1" t="s">
        <v>13</v>
      </c>
      <c r="J190" s="1" t="s">
        <v>18</v>
      </c>
      <c r="K190" s="1" t="s">
        <v>1349</v>
      </c>
    </row>
    <row r="191" spans="1:12" x14ac:dyDescent="0.35">
      <c r="A191" s="5" t="s">
        <v>1399</v>
      </c>
      <c r="B191" s="6" t="s">
        <v>1400</v>
      </c>
      <c r="C191" s="5" t="str">
        <f>"2022/08/12"</f>
        <v>2022/08/12</v>
      </c>
      <c r="D191" s="7">
        <f t="shared" si="10"/>
        <v>44785</v>
      </c>
      <c r="E191" s="7">
        <f t="shared" si="11"/>
        <v>45139</v>
      </c>
      <c r="F191" s="5" t="str">
        <f>"2023/08/01"</f>
        <v>2023/08/01</v>
      </c>
      <c r="G191" s="6" t="s">
        <v>989</v>
      </c>
      <c r="H191" s="5">
        <v>2019</v>
      </c>
      <c r="I191" s="6" t="s">
        <v>13</v>
      </c>
      <c r="J191" s="6" t="s">
        <v>22</v>
      </c>
      <c r="K191" s="6" t="s">
        <v>990</v>
      </c>
      <c r="L191" s="6"/>
    </row>
    <row r="192" spans="1:12" x14ac:dyDescent="0.35">
      <c r="A192" s="5" t="s">
        <v>1323</v>
      </c>
      <c r="B192" s="6" t="s">
        <v>1324</v>
      </c>
      <c r="C192" s="5" t="str">
        <f>"2022/08/08"</f>
        <v>2022/08/08</v>
      </c>
      <c r="D192" s="7">
        <f t="shared" si="10"/>
        <v>44781</v>
      </c>
      <c r="E192" s="7">
        <f t="shared" si="11"/>
        <v>45108</v>
      </c>
      <c r="F192" s="5" t="str">
        <f>"2023/07/01"</f>
        <v>2023/07/01</v>
      </c>
      <c r="G192" s="6" t="s">
        <v>5</v>
      </c>
      <c r="H192" s="5">
        <v>1945</v>
      </c>
      <c r="I192" s="6" t="s">
        <v>6</v>
      </c>
      <c r="J192" s="6" t="s">
        <v>13</v>
      </c>
      <c r="K192" s="6" t="s">
        <v>24</v>
      </c>
      <c r="L192" s="6"/>
    </row>
    <row r="193" spans="1:12" x14ac:dyDescent="0.35">
      <c r="A193" s="5" t="s">
        <v>1432</v>
      </c>
      <c r="B193" s="6" t="s">
        <v>1433</v>
      </c>
      <c r="C193" s="5" t="str">
        <f>"2022/08/08"</f>
        <v>2022/08/08</v>
      </c>
      <c r="D193" s="7">
        <f t="shared" si="10"/>
        <v>44781</v>
      </c>
      <c r="E193" s="7">
        <f t="shared" si="11"/>
        <v>45139</v>
      </c>
      <c r="F193" s="5" t="str">
        <f>"2023/08/01"</f>
        <v>2023/08/01</v>
      </c>
      <c r="G193" s="6" t="s">
        <v>5</v>
      </c>
      <c r="H193" s="5">
        <v>1962</v>
      </c>
      <c r="I193" s="6" t="s">
        <v>52</v>
      </c>
      <c r="J193" s="6" t="s">
        <v>13</v>
      </c>
      <c r="K193" s="6" t="s">
        <v>24</v>
      </c>
      <c r="L193" s="6"/>
    </row>
    <row r="194" spans="1:12" x14ac:dyDescent="0.35">
      <c r="A194" t="s">
        <v>1321</v>
      </c>
      <c r="B194" s="1" t="s">
        <v>1322</v>
      </c>
      <c r="C194" t="str">
        <f>"2022/08/08"</f>
        <v>2022/08/08</v>
      </c>
      <c r="D194" s="4">
        <f t="shared" ref="D194:D257" si="14">DATEVALUE(C194)</f>
        <v>44781</v>
      </c>
      <c r="E194" s="4">
        <f t="shared" ref="E194:E257" si="15">DATEVALUE(F194)</f>
        <v>45474</v>
      </c>
      <c r="F194" t="str">
        <f>"2024/07/01"</f>
        <v>2024/07/01</v>
      </c>
      <c r="G194" s="1" t="s">
        <v>45</v>
      </c>
      <c r="H194">
        <v>2018</v>
      </c>
      <c r="I194" s="1" t="s">
        <v>124</v>
      </c>
      <c r="J194" s="1" t="s">
        <v>13</v>
      </c>
      <c r="K194" s="1" t="s">
        <v>514</v>
      </c>
    </row>
    <row r="195" spans="1:12" x14ac:dyDescent="0.35">
      <c r="A195" s="5" t="s">
        <v>1154</v>
      </c>
      <c r="B195" s="6" t="s">
        <v>1155</v>
      </c>
      <c r="C195" s="5" t="str">
        <f>"2022/08/01"</f>
        <v>2022/08/01</v>
      </c>
      <c r="D195" s="7">
        <f t="shared" si="14"/>
        <v>44774</v>
      </c>
      <c r="E195" s="7">
        <f t="shared" si="15"/>
        <v>45139</v>
      </c>
      <c r="F195" s="5" t="str">
        <f>"2023/08/01"</f>
        <v>2023/08/01</v>
      </c>
      <c r="G195" s="6" t="s">
        <v>214</v>
      </c>
      <c r="H195" s="5">
        <v>1996</v>
      </c>
      <c r="I195" s="6" t="s">
        <v>124</v>
      </c>
      <c r="J195" s="6" t="s">
        <v>13</v>
      </c>
      <c r="K195" s="6" t="s">
        <v>591</v>
      </c>
      <c r="L195" s="6"/>
    </row>
    <row r="196" spans="1:12" x14ac:dyDescent="0.35">
      <c r="A196" s="5" t="s">
        <v>1156</v>
      </c>
      <c r="B196" s="6" t="s">
        <v>1157</v>
      </c>
      <c r="C196" s="5" t="str">
        <f>"2022/08/01"</f>
        <v>2022/08/01</v>
      </c>
      <c r="D196" s="7">
        <f t="shared" si="14"/>
        <v>44774</v>
      </c>
      <c r="E196" s="7">
        <f t="shared" si="15"/>
        <v>45139</v>
      </c>
      <c r="F196" s="5" t="str">
        <f>"2023/08/01"</f>
        <v>2023/08/01</v>
      </c>
      <c r="G196" s="6" t="s">
        <v>214</v>
      </c>
      <c r="H196" s="5">
        <v>2005</v>
      </c>
      <c r="I196" s="6" t="s">
        <v>124</v>
      </c>
      <c r="J196" s="6" t="s">
        <v>13</v>
      </c>
      <c r="K196" s="6" t="s">
        <v>591</v>
      </c>
      <c r="L196" s="6"/>
    </row>
    <row r="197" spans="1:12" x14ac:dyDescent="0.35">
      <c r="A197" s="5" t="s">
        <v>1158</v>
      </c>
      <c r="B197" s="6" t="s">
        <v>1159</v>
      </c>
      <c r="C197" s="5" t="str">
        <f>"2022/08/01"</f>
        <v>2022/08/01</v>
      </c>
      <c r="D197" s="7">
        <f t="shared" si="14"/>
        <v>44774</v>
      </c>
      <c r="E197" s="7">
        <f t="shared" si="15"/>
        <v>45139</v>
      </c>
      <c r="F197" s="5" t="str">
        <f>"2023/08/01"</f>
        <v>2023/08/01</v>
      </c>
      <c r="G197" s="6" t="s">
        <v>214</v>
      </c>
      <c r="H197" s="5">
        <v>2005</v>
      </c>
      <c r="I197" s="6" t="s">
        <v>124</v>
      </c>
      <c r="J197" s="6" t="s">
        <v>13</v>
      </c>
      <c r="K197" s="6" t="s">
        <v>591</v>
      </c>
      <c r="L197" s="6"/>
    </row>
    <row r="198" spans="1:12" x14ac:dyDescent="0.35">
      <c r="A198" s="5" t="s">
        <v>1160</v>
      </c>
      <c r="B198" s="6" t="s">
        <v>1161</v>
      </c>
      <c r="C198" s="5" t="str">
        <f>"2022/08/01"</f>
        <v>2022/08/01</v>
      </c>
      <c r="D198" s="7">
        <f t="shared" si="14"/>
        <v>44774</v>
      </c>
      <c r="E198" s="7">
        <f t="shared" si="15"/>
        <v>45139</v>
      </c>
      <c r="F198" s="5" t="str">
        <f>"2023/08/01"</f>
        <v>2023/08/01</v>
      </c>
      <c r="G198" s="6" t="s">
        <v>36</v>
      </c>
      <c r="H198" s="5">
        <v>2010</v>
      </c>
      <c r="I198" s="6" t="s">
        <v>13</v>
      </c>
      <c r="J198" s="6" t="s">
        <v>50</v>
      </c>
      <c r="K198" s="6" t="s">
        <v>1162</v>
      </c>
      <c r="L198" s="6"/>
    </row>
    <row r="199" spans="1:12" x14ac:dyDescent="0.35">
      <c r="A199" s="5" t="s">
        <v>1401</v>
      </c>
      <c r="B199" s="6" t="s">
        <v>1402</v>
      </c>
      <c r="C199" s="5" t="str">
        <f>"2022/07/28"</f>
        <v>2022/07/28</v>
      </c>
      <c r="D199" s="7">
        <f t="shared" si="14"/>
        <v>44770</v>
      </c>
      <c r="E199" s="7">
        <f t="shared" si="15"/>
        <v>45108</v>
      </c>
      <c r="F199" s="5" t="str">
        <f>"2023/07/01"</f>
        <v>2023/07/01</v>
      </c>
      <c r="G199" s="6" t="s">
        <v>45</v>
      </c>
      <c r="H199" s="5">
        <v>1963</v>
      </c>
      <c r="I199" s="6" t="s">
        <v>13</v>
      </c>
      <c r="J199" s="6"/>
      <c r="K199" s="6" t="s">
        <v>725</v>
      </c>
      <c r="L199" s="6"/>
    </row>
    <row r="200" spans="1:12" ht="29" x14ac:dyDescent="0.35">
      <c r="A200" t="s">
        <v>1403</v>
      </c>
      <c r="B200" s="1" t="s">
        <v>1404</v>
      </c>
      <c r="C200" t="str">
        <f>"2022/07/28"</f>
        <v>2022/07/28</v>
      </c>
      <c r="D200" s="4">
        <f t="shared" si="14"/>
        <v>44770</v>
      </c>
      <c r="E200" s="4">
        <f t="shared" si="15"/>
        <v>45382</v>
      </c>
      <c r="F200" t="str">
        <f>"2024/03/31"</f>
        <v>2024/03/31</v>
      </c>
      <c r="G200" s="1" t="s">
        <v>45</v>
      </c>
      <c r="H200">
        <v>1950</v>
      </c>
      <c r="I200" s="1" t="s">
        <v>124</v>
      </c>
      <c r="J200" s="1" t="s">
        <v>13</v>
      </c>
      <c r="K200" s="1" t="s">
        <v>844</v>
      </c>
    </row>
    <row r="201" spans="1:12" x14ac:dyDescent="0.35">
      <c r="A201" t="s">
        <v>1361</v>
      </c>
      <c r="B201" s="1" t="s">
        <v>1362</v>
      </c>
      <c r="C201" t="str">
        <f>"2022/07/21"</f>
        <v>2022/07/21</v>
      </c>
      <c r="D201" s="4">
        <f t="shared" si="14"/>
        <v>44763</v>
      </c>
      <c r="E201" s="4">
        <f t="shared" si="15"/>
        <v>45382</v>
      </c>
      <c r="F201" t="str">
        <f>"2024/03/31"</f>
        <v>2024/03/31</v>
      </c>
      <c r="G201" s="1" t="s">
        <v>36</v>
      </c>
      <c r="H201">
        <v>2016</v>
      </c>
      <c r="I201" s="1" t="s">
        <v>31</v>
      </c>
      <c r="J201" s="1" t="s">
        <v>18</v>
      </c>
      <c r="K201" s="1" t="s">
        <v>1363</v>
      </c>
    </row>
    <row r="202" spans="1:12" ht="29" x14ac:dyDescent="0.35">
      <c r="A202" s="5" t="s">
        <v>266</v>
      </c>
      <c r="B202" s="6" t="s">
        <v>267</v>
      </c>
      <c r="C202" s="5" t="str">
        <f>"2022/07/18"</f>
        <v>2022/07/18</v>
      </c>
      <c r="D202" s="7">
        <f t="shared" si="14"/>
        <v>44760</v>
      </c>
      <c r="E202" s="7">
        <f t="shared" si="15"/>
        <v>45108</v>
      </c>
      <c r="F202" s="5" t="str">
        <f>"2023/07/01"</f>
        <v>2023/07/01</v>
      </c>
      <c r="G202" s="6" t="s">
        <v>268</v>
      </c>
      <c r="H202" s="5">
        <v>2014</v>
      </c>
      <c r="I202" s="6" t="s">
        <v>13</v>
      </c>
      <c r="J202" s="6"/>
      <c r="K202" s="6" t="s">
        <v>269</v>
      </c>
      <c r="L202" s="6" t="s">
        <v>270</v>
      </c>
    </row>
    <row r="203" spans="1:12" ht="29" x14ac:dyDescent="0.35">
      <c r="A203" t="s">
        <v>1353</v>
      </c>
      <c r="B203" s="1" t="s">
        <v>1354</v>
      </c>
      <c r="C203" t="str">
        <f>"2022/07/15"</f>
        <v>2022/07/15</v>
      </c>
      <c r="D203" s="4">
        <f t="shared" si="14"/>
        <v>44757</v>
      </c>
      <c r="E203" s="4">
        <f t="shared" si="15"/>
        <v>45474</v>
      </c>
      <c r="F203" t="str">
        <f>"2024/07/01"</f>
        <v>2024/07/01</v>
      </c>
      <c r="G203" s="1" t="s">
        <v>61</v>
      </c>
      <c r="H203">
        <v>1976</v>
      </c>
      <c r="I203" s="1" t="s">
        <v>13</v>
      </c>
      <c r="J203" s="1" t="s">
        <v>37</v>
      </c>
      <c r="K203" s="1" t="s">
        <v>1355</v>
      </c>
    </row>
    <row r="204" spans="1:12" x14ac:dyDescent="0.35">
      <c r="A204" s="5" t="s">
        <v>1405</v>
      </c>
      <c r="B204" s="6" t="s">
        <v>1406</v>
      </c>
      <c r="C204" s="5" t="str">
        <f>"2022/07/13"</f>
        <v>2022/07/13</v>
      </c>
      <c r="D204" s="7">
        <f t="shared" si="14"/>
        <v>44755</v>
      </c>
      <c r="E204" s="7">
        <f t="shared" si="15"/>
        <v>45119</v>
      </c>
      <c r="F204" s="5" t="str">
        <f>"2023/07/12"</f>
        <v>2023/07/12</v>
      </c>
      <c r="G204" s="6" t="s">
        <v>61</v>
      </c>
      <c r="H204" s="5">
        <v>2022</v>
      </c>
      <c r="I204" s="6" t="s">
        <v>31</v>
      </c>
      <c r="J204" s="6" t="s">
        <v>18</v>
      </c>
      <c r="K204" s="6" t="s">
        <v>1407</v>
      </c>
      <c r="L204" s="6"/>
    </row>
    <row r="205" spans="1:12" x14ac:dyDescent="0.35">
      <c r="A205" t="s">
        <v>1350</v>
      </c>
      <c r="B205" s="1" t="s">
        <v>1351</v>
      </c>
      <c r="C205" t="str">
        <f>"2022/07/12"</f>
        <v>2022/07/12</v>
      </c>
      <c r="D205" s="4">
        <f t="shared" si="14"/>
        <v>44754</v>
      </c>
      <c r="E205" s="4">
        <f t="shared" si="15"/>
        <v>45382</v>
      </c>
      <c r="F205" t="str">
        <f>"2024/03/31"</f>
        <v>2024/03/31</v>
      </c>
      <c r="G205" s="1" t="s">
        <v>796</v>
      </c>
      <c r="H205">
        <v>1963</v>
      </c>
      <c r="I205" s="1" t="s">
        <v>83</v>
      </c>
      <c r="J205" s="1" t="s">
        <v>240</v>
      </c>
      <c r="K205" s="1" t="s">
        <v>1352</v>
      </c>
    </row>
    <row r="206" spans="1:12" ht="29" x14ac:dyDescent="0.35">
      <c r="A206" t="s">
        <v>1359</v>
      </c>
      <c r="B206" s="1" t="s">
        <v>1360</v>
      </c>
      <c r="C206" t="str">
        <f>"2022/07/12"</f>
        <v>2022/07/12</v>
      </c>
      <c r="D206" s="4">
        <f t="shared" si="14"/>
        <v>44754</v>
      </c>
      <c r="E206" s="4">
        <f t="shared" si="15"/>
        <v>45382</v>
      </c>
      <c r="F206" t="str">
        <f>"2024/03/31"</f>
        <v>2024/03/31</v>
      </c>
      <c r="G206" s="1" t="s">
        <v>110</v>
      </c>
      <c r="H206">
        <v>2000</v>
      </c>
      <c r="I206" s="1" t="s">
        <v>31</v>
      </c>
      <c r="J206" s="1" t="s">
        <v>7</v>
      </c>
      <c r="K206" s="1" t="s">
        <v>111</v>
      </c>
    </row>
    <row r="207" spans="1:12" ht="29" x14ac:dyDescent="0.35">
      <c r="A207" t="s">
        <v>559</v>
      </c>
      <c r="B207" s="1" t="s">
        <v>560</v>
      </c>
      <c r="C207" t="str">
        <f>"2022/07/12"</f>
        <v>2022/07/12</v>
      </c>
      <c r="D207" s="4">
        <f t="shared" si="14"/>
        <v>44754</v>
      </c>
      <c r="E207" s="4">
        <f t="shared" si="15"/>
        <v>45444</v>
      </c>
      <c r="F207" t="str">
        <f>"2024/06/01"</f>
        <v>2024/06/01</v>
      </c>
      <c r="G207" s="1" t="s">
        <v>110</v>
      </c>
      <c r="H207">
        <v>2016</v>
      </c>
      <c r="I207" s="1" t="s">
        <v>13</v>
      </c>
      <c r="J207" s="1" t="s">
        <v>7</v>
      </c>
      <c r="K207" s="1" t="s">
        <v>111</v>
      </c>
    </row>
    <row r="208" spans="1:12" x14ac:dyDescent="0.35">
      <c r="A208" t="s">
        <v>1356</v>
      </c>
      <c r="B208" s="1" t="s">
        <v>1357</v>
      </c>
      <c r="C208" t="str">
        <f>"2022/07/11"</f>
        <v>2022/07/11</v>
      </c>
      <c r="D208" s="4">
        <f t="shared" si="14"/>
        <v>44753</v>
      </c>
      <c r="E208" s="4">
        <f t="shared" si="15"/>
        <v>45382</v>
      </c>
      <c r="F208" t="str">
        <f>"2024/03/31"</f>
        <v>2024/03/31</v>
      </c>
      <c r="G208" s="1" t="s">
        <v>395</v>
      </c>
      <c r="H208">
        <v>1989</v>
      </c>
      <c r="I208" s="1" t="s">
        <v>13</v>
      </c>
      <c r="J208" s="1" t="s">
        <v>18</v>
      </c>
      <c r="K208" s="1" t="s">
        <v>1358</v>
      </c>
    </row>
    <row r="209" spans="1:12" x14ac:dyDescent="0.35">
      <c r="A209" s="5" t="s">
        <v>1393</v>
      </c>
      <c r="B209" s="6" t="s">
        <v>1394</v>
      </c>
      <c r="C209" s="5" t="str">
        <f>"2022/07/07"</f>
        <v>2022/07/07</v>
      </c>
      <c r="D209" s="7">
        <f t="shared" si="14"/>
        <v>44749</v>
      </c>
      <c r="E209" s="7">
        <f t="shared" si="15"/>
        <v>45108</v>
      </c>
      <c r="F209" s="5" t="str">
        <f>"2023/07/01"</f>
        <v>2023/07/01</v>
      </c>
      <c r="G209" s="6" t="s">
        <v>36</v>
      </c>
      <c r="H209" s="5">
        <v>1972</v>
      </c>
      <c r="I209" s="6" t="s">
        <v>124</v>
      </c>
      <c r="J209" s="6" t="s">
        <v>13</v>
      </c>
      <c r="K209" s="6" t="s">
        <v>1395</v>
      </c>
      <c r="L209" s="6"/>
    </row>
    <row r="210" spans="1:12" x14ac:dyDescent="0.35">
      <c r="A210" s="5" t="s">
        <v>1328</v>
      </c>
      <c r="B210" s="6" t="s">
        <v>1329</v>
      </c>
      <c r="C210" s="5" t="str">
        <f>"2022/07/04"</f>
        <v>2022/07/04</v>
      </c>
      <c r="D210" s="7">
        <f t="shared" si="14"/>
        <v>44746</v>
      </c>
      <c r="E210" s="7">
        <f t="shared" si="15"/>
        <v>45047</v>
      </c>
      <c r="F210" s="5" t="str">
        <f>"2023/05/01"</f>
        <v>2023/05/01</v>
      </c>
      <c r="G210" s="6" t="s">
        <v>36</v>
      </c>
      <c r="H210" s="5">
        <v>2007</v>
      </c>
      <c r="I210" s="6" t="s">
        <v>13</v>
      </c>
      <c r="J210" s="6"/>
      <c r="K210" s="6" t="s">
        <v>1330</v>
      </c>
      <c r="L210" s="6"/>
    </row>
    <row r="211" spans="1:12" x14ac:dyDescent="0.35">
      <c r="A211" s="5" t="s">
        <v>1331</v>
      </c>
      <c r="B211" s="6" t="s">
        <v>1332</v>
      </c>
      <c r="C211" s="5" t="str">
        <f>"2022/07/04"</f>
        <v>2022/07/04</v>
      </c>
      <c r="D211" s="7">
        <f t="shared" si="14"/>
        <v>44746</v>
      </c>
      <c r="E211" s="7">
        <f t="shared" si="15"/>
        <v>45047</v>
      </c>
      <c r="F211" s="5" t="str">
        <f>"2023/05/01"</f>
        <v>2023/05/01</v>
      </c>
      <c r="G211" s="6" t="s">
        <v>36</v>
      </c>
      <c r="H211" s="5">
        <v>2008</v>
      </c>
      <c r="I211" s="6" t="s">
        <v>13</v>
      </c>
      <c r="J211" s="6"/>
      <c r="K211" s="6" t="s">
        <v>1330</v>
      </c>
      <c r="L211" s="6"/>
    </row>
    <row r="212" spans="1:12" ht="29" x14ac:dyDescent="0.35">
      <c r="A212" s="5" t="s">
        <v>1341</v>
      </c>
      <c r="B212" s="6" t="s">
        <v>1342</v>
      </c>
      <c r="C212" s="5" t="str">
        <f>"2022/07/04"</f>
        <v>2022/07/04</v>
      </c>
      <c r="D212" s="7">
        <f t="shared" si="14"/>
        <v>44746</v>
      </c>
      <c r="E212" s="7">
        <f t="shared" si="15"/>
        <v>45108</v>
      </c>
      <c r="F212" s="5" t="str">
        <f>"2023/07/01"</f>
        <v>2023/07/01</v>
      </c>
      <c r="G212" s="6" t="s">
        <v>36</v>
      </c>
      <c r="H212" s="5">
        <v>2021</v>
      </c>
      <c r="I212" s="6" t="s">
        <v>124</v>
      </c>
      <c r="J212" s="6" t="s">
        <v>13</v>
      </c>
      <c r="K212" s="6" t="s">
        <v>1343</v>
      </c>
      <c r="L212" s="6"/>
    </row>
    <row r="213" spans="1:12" x14ac:dyDescent="0.35">
      <c r="A213" s="5" t="s">
        <v>1333</v>
      </c>
      <c r="B213" s="6" t="s">
        <v>1334</v>
      </c>
      <c r="C213" s="5" t="str">
        <f>"2022/07/01"</f>
        <v>2022/07/01</v>
      </c>
      <c r="D213" s="7">
        <f t="shared" si="14"/>
        <v>44743</v>
      </c>
      <c r="E213" s="7">
        <f t="shared" si="15"/>
        <v>45047</v>
      </c>
      <c r="F213" s="5" t="str">
        <f>"2023/05/01"</f>
        <v>2023/05/01</v>
      </c>
      <c r="G213" s="6" t="s">
        <v>1335</v>
      </c>
      <c r="H213" s="5">
        <v>2020</v>
      </c>
      <c r="I213" s="6" t="s">
        <v>13</v>
      </c>
      <c r="J213" s="6" t="s">
        <v>18</v>
      </c>
      <c r="K213" s="6" t="s">
        <v>1336</v>
      </c>
      <c r="L213" s="6"/>
    </row>
    <row r="214" spans="1:12" x14ac:dyDescent="0.35">
      <c r="A214" t="s">
        <v>870</v>
      </c>
      <c r="B214" s="1" t="s">
        <v>871</v>
      </c>
      <c r="C214" t="str">
        <f>"2022/07/01"</f>
        <v>2022/07/01</v>
      </c>
      <c r="D214" s="4">
        <f t="shared" si="14"/>
        <v>44743</v>
      </c>
      <c r="E214" s="4">
        <f t="shared" si="15"/>
        <v>45413</v>
      </c>
      <c r="F214" t="str">
        <f>"2024/05/01"</f>
        <v>2024/05/01</v>
      </c>
      <c r="G214" s="1" t="s">
        <v>61</v>
      </c>
      <c r="H214">
        <v>2018</v>
      </c>
      <c r="I214" s="1" t="s">
        <v>13</v>
      </c>
      <c r="K214" s="1" t="s">
        <v>872</v>
      </c>
    </row>
    <row r="215" spans="1:12" x14ac:dyDescent="0.35">
      <c r="A215" t="s">
        <v>1344</v>
      </c>
      <c r="B215" s="1" t="s">
        <v>1345</v>
      </c>
      <c r="C215" t="str">
        <f>"2022/06/29"</f>
        <v>2022/06/29</v>
      </c>
      <c r="D215" s="4">
        <f t="shared" si="14"/>
        <v>44741</v>
      </c>
      <c r="E215" s="4">
        <f t="shared" si="15"/>
        <v>45444</v>
      </c>
      <c r="F215" t="str">
        <f>"2024/06/01"</f>
        <v>2024/06/01</v>
      </c>
      <c r="G215" s="1" t="s">
        <v>188</v>
      </c>
      <c r="H215">
        <v>2018</v>
      </c>
      <c r="I215" s="1" t="s">
        <v>13</v>
      </c>
      <c r="J215" s="1" t="s">
        <v>18</v>
      </c>
      <c r="K215" s="1" t="s">
        <v>1346</v>
      </c>
    </row>
    <row r="216" spans="1:12" x14ac:dyDescent="0.35">
      <c r="A216" t="s">
        <v>1325</v>
      </c>
      <c r="B216" s="1" t="s">
        <v>1326</v>
      </c>
      <c r="C216" t="str">
        <f>"2022/06/24"</f>
        <v>2022/06/24</v>
      </c>
      <c r="D216" s="4">
        <f t="shared" si="14"/>
        <v>44736</v>
      </c>
      <c r="E216" s="4">
        <f t="shared" si="15"/>
        <v>45413</v>
      </c>
      <c r="F216" t="str">
        <f>"2024/05/01"</f>
        <v>2024/05/01</v>
      </c>
      <c r="G216" s="1" t="s">
        <v>27</v>
      </c>
      <c r="H216">
        <v>2004</v>
      </c>
      <c r="I216" s="1" t="s">
        <v>13</v>
      </c>
      <c r="J216" s="1" t="s">
        <v>22</v>
      </c>
      <c r="K216" s="1" t="s">
        <v>1327</v>
      </c>
    </row>
    <row r="217" spans="1:12" x14ac:dyDescent="0.35">
      <c r="A217" s="5" t="s">
        <v>878</v>
      </c>
      <c r="B217" s="6" t="s">
        <v>879</v>
      </c>
      <c r="C217" s="5" t="str">
        <f>"2022/06/23"</f>
        <v>2022/06/23</v>
      </c>
      <c r="D217" s="7">
        <f t="shared" si="14"/>
        <v>44735</v>
      </c>
      <c r="E217" s="7">
        <f t="shared" si="15"/>
        <v>45085</v>
      </c>
      <c r="F217" s="5" t="str">
        <f>"2023/06/08"</f>
        <v>2023/06/08</v>
      </c>
      <c r="G217" s="6" t="s">
        <v>61</v>
      </c>
      <c r="H217" s="5">
        <v>2018</v>
      </c>
      <c r="I217" s="6" t="s">
        <v>52</v>
      </c>
      <c r="J217" s="6" t="s">
        <v>12</v>
      </c>
      <c r="K217" s="6" t="s">
        <v>880</v>
      </c>
      <c r="L217" s="6"/>
    </row>
    <row r="218" spans="1:12" x14ac:dyDescent="0.35">
      <c r="A218" t="s">
        <v>1073</v>
      </c>
      <c r="B218" s="1" t="s">
        <v>1074</v>
      </c>
      <c r="C218" t="str">
        <f>"2022/06/21"</f>
        <v>2022/06/21</v>
      </c>
      <c r="D218" s="4">
        <f t="shared" si="14"/>
        <v>44733</v>
      </c>
      <c r="E218" s="4">
        <f t="shared" si="15"/>
        <v>45444</v>
      </c>
      <c r="F218" t="str">
        <f>"2024/06/01"</f>
        <v>2024/06/01</v>
      </c>
      <c r="G218" s="1" t="s">
        <v>289</v>
      </c>
      <c r="H218">
        <v>2017</v>
      </c>
      <c r="I218" s="1" t="s">
        <v>13</v>
      </c>
      <c r="K218" s="1" t="s">
        <v>1075</v>
      </c>
    </row>
    <row r="219" spans="1:12" x14ac:dyDescent="0.35">
      <c r="A219" s="5" t="s">
        <v>1337</v>
      </c>
      <c r="B219" s="6" t="s">
        <v>1338</v>
      </c>
      <c r="C219" s="5" t="str">
        <f>"2022/06/20"</f>
        <v>2022/06/20</v>
      </c>
      <c r="D219" s="7">
        <f t="shared" si="14"/>
        <v>44732</v>
      </c>
      <c r="E219" s="7">
        <f t="shared" si="15"/>
        <v>45097</v>
      </c>
      <c r="F219" s="5" t="str">
        <f>"2023/06/20"</f>
        <v>2023/06/20</v>
      </c>
      <c r="G219" s="6" t="s">
        <v>1339</v>
      </c>
      <c r="H219" s="5">
        <v>2020</v>
      </c>
      <c r="I219" s="6" t="s">
        <v>13</v>
      </c>
      <c r="J219" s="6"/>
      <c r="K219" s="6" t="s">
        <v>1340</v>
      </c>
      <c r="L219" s="6"/>
    </row>
    <row r="220" spans="1:12" x14ac:dyDescent="0.35">
      <c r="A220" s="5" t="s">
        <v>1303</v>
      </c>
      <c r="B220" s="6" t="s">
        <v>1304</v>
      </c>
      <c r="C220" s="5" t="str">
        <f>"2022/06/16"</f>
        <v>2022/06/16</v>
      </c>
      <c r="D220" s="7">
        <f t="shared" si="14"/>
        <v>44728</v>
      </c>
      <c r="E220" s="7">
        <f t="shared" si="15"/>
        <v>45047</v>
      </c>
      <c r="F220" s="5" t="str">
        <f>"2023/05/01"</f>
        <v>2023/05/01</v>
      </c>
      <c r="G220" s="6" t="s">
        <v>5</v>
      </c>
      <c r="H220" s="5">
        <v>2011</v>
      </c>
      <c r="I220" s="6" t="s">
        <v>124</v>
      </c>
      <c r="J220" s="6" t="s">
        <v>13</v>
      </c>
      <c r="K220" s="6" t="s">
        <v>1305</v>
      </c>
      <c r="L220" s="6"/>
    </row>
    <row r="221" spans="1:12" x14ac:dyDescent="0.35">
      <c r="A221" t="s">
        <v>1147</v>
      </c>
      <c r="B221" s="1" t="s">
        <v>1148</v>
      </c>
      <c r="C221" t="str">
        <f>"2022/06/16"</f>
        <v>2022/06/16</v>
      </c>
      <c r="D221" s="4">
        <f t="shared" si="14"/>
        <v>44728</v>
      </c>
      <c r="E221" s="4">
        <f t="shared" si="15"/>
        <v>45352</v>
      </c>
      <c r="F221" t="str">
        <f>"2024/03/01"</f>
        <v>2024/03/01</v>
      </c>
      <c r="G221" s="1" t="s">
        <v>815</v>
      </c>
      <c r="H221">
        <v>2020</v>
      </c>
      <c r="I221" s="1" t="s">
        <v>52</v>
      </c>
      <c r="J221" s="1" t="s">
        <v>13</v>
      </c>
      <c r="K221" s="1" t="s">
        <v>1149</v>
      </c>
    </row>
    <row r="222" spans="1:12" x14ac:dyDescent="0.35">
      <c r="A222" t="s">
        <v>143</v>
      </c>
      <c r="B222" s="1" t="s">
        <v>144</v>
      </c>
      <c r="C222" t="str">
        <f>"2022/06/13"</f>
        <v>2022/06/13</v>
      </c>
      <c r="D222" s="4">
        <f t="shared" si="14"/>
        <v>44725</v>
      </c>
      <c r="E222" s="4">
        <f t="shared" si="15"/>
        <v>45413</v>
      </c>
      <c r="F222" t="str">
        <f>"2024/05/01"</f>
        <v>2024/05/01</v>
      </c>
      <c r="G222" s="1" t="s">
        <v>61</v>
      </c>
      <c r="H222">
        <v>2012</v>
      </c>
      <c r="I222" s="1" t="s">
        <v>8</v>
      </c>
      <c r="J222" s="1" t="s">
        <v>37</v>
      </c>
      <c r="K222" s="1" t="s">
        <v>145</v>
      </c>
    </row>
    <row r="223" spans="1:12" ht="29" x14ac:dyDescent="0.35">
      <c r="A223" t="s">
        <v>1388</v>
      </c>
      <c r="B223" s="1" t="s">
        <v>1389</v>
      </c>
      <c r="C223" t="str">
        <f>"2022/06/13"</f>
        <v>2022/06/13</v>
      </c>
      <c r="D223" s="4">
        <f t="shared" si="14"/>
        <v>44725</v>
      </c>
      <c r="E223" s="4">
        <f t="shared" si="15"/>
        <v>47281</v>
      </c>
      <c r="F223" t="str">
        <f>"2029/06/12"</f>
        <v>2029/06/12</v>
      </c>
      <c r="G223" s="1" t="s">
        <v>61</v>
      </c>
      <c r="H223">
        <v>2011</v>
      </c>
      <c r="I223" s="1" t="s">
        <v>52</v>
      </c>
      <c r="J223" s="1" t="s">
        <v>31</v>
      </c>
      <c r="K223" s="1" t="s">
        <v>551</v>
      </c>
    </row>
    <row r="224" spans="1:12" x14ac:dyDescent="0.35">
      <c r="A224" s="5" t="s">
        <v>540</v>
      </c>
      <c r="B224" s="6" t="s">
        <v>541</v>
      </c>
      <c r="C224" s="5" t="str">
        <f>"2022/06/09"</f>
        <v>2022/06/09</v>
      </c>
      <c r="D224" s="7">
        <f t="shared" si="14"/>
        <v>44721</v>
      </c>
      <c r="E224" s="7">
        <f t="shared" si="15"/>
        <v>45078</v>
      </c>
      <c r="F224" s="5" t="str">
        <f>"2023/06/01"</f>
        <v>2023/06/01</v>
      </c>
      <c r="G224" s="6" t="s">
        <v>61</v>
      </c>
      <c r="H224" s="5">
        <v>2015</v>
      </c>
      <c r="I224" s="6" t="s">
        <v>31</v>
      </c>
      <c r="J224" s="6" t="s">
        <v>18</v>
      </c>
      <c r="K224" s="6" t="s">
        <v>542</v>
      </c>
      <c r="L224" s="6"/>
    </row>
    <row r="225" spans="1:12" x14ac:dyDescent="0.35">
      <c r="A225" s="5" t="s">
        <v>633</v>
      </c>
      <c r="B225" s="6" t="s">
        <v>634</v>
      </c>
      <c r="C225" s="5" t="str">
        <f>"2022/06/09"</f>
        <v>2022/06/09</v>
      </c>
      <c r="D225" s="7">
        <f t="shared" si="14"/>
        <v>44721</v>
      </c>
      <c r="E225" s="7">
        <f t="shared" si="15"/>
        <v>45078</v>
      </c>
      <c r="F225" s="5" t="str">
        <f>"2023/06/01"</f>
        <v>2023/06/01</v>
      </c>
      <c r="G225" s="6" t="s">
        <v>61</v>
      </c>
      <c r="H225" s="5">
        <v>2017</v>
      </c>
      <c r="I225" s="6" t="s">
        <v>12</v>
      </c>
      <c r="J225" s="6" t="s">
        <v>13</v>
      </c>
      <c r="K225" s="6" t="s">
        <v>635</v>
      </c>
      <c r="L225" s="6"/>
    </row>
    <row r="226" spans="1:12" x14ac:dyDescent="0.35">
      <c r="A226" t="s">
        <v>20</v>
      </c>
      <c r="B226" s="1" t="s">
        <v>21</v>
      </c>
      <c r="C226" t="str">
        <f>"2022/06/09"</f>
        <v>2022/06/09</v>
      </c>
      <c r="D226" s="4">
        <f t="shared" si="14"/>
        <v>44721</v>
      </c>
      <c r="E226" s="4">
        <f t="shared" si="15"/>
        <v>45413</v>
      </c>
      <c r="F226" t="str">
        <f>"2024/05/01"</f>
        <v>2024/05/01</v>
      </c>
      <c r="G226" s="1" t="s">
        <v>5</v>
      </c>
      <c r="H226">
        <v>1934</v>
      </c>
      <c r="I226" s="1" t="s">
        <v>12</v>
      </c>
      <c r="J226" s="1" t="s">
        <v>13</v>
      </c>
      <c r="K226" s="1" t="s">
        <v>23</v>
      </c>
    </row>
    <row r="227" spans="1:12" x14ac:dyDescent="0.35">
      <c r="A227" s="5" t="s">
        <v>832</v>
      </c>
      <c r="B227" s="6" t="s">
        <v>833</v>
      </c>
      <c r="C227" s="5" t="str">
        <f>"2022/06/06"</f>
        <v>2022/06/06</v>
      </c>
      <c r="D227" s="7">
        <f t="shared" si="14"/>
        <v>44718</v>
      </c>
      <c r="E227" s="7">
        <f t="shared" si="15"/>
        <v>45078</v>
      </c>
      <c r="F227" s="5" t="str">
        <f>"2023/06/01"</f>
        <v>2023/06/01</v>
      </c>
      <c r="G227" s="6" t="s">
        <v>36</v>
      </c>
      <c r="H227" s="5">
        <v>2018</v>
      </c>
      <c r="I227" s="6" t="s">
        <v>12</v>
      </c>
      <c r="J227" s="6" t="s">
        <v>13</v>
      </c>
      <c r="K227" s="6" t="s">
        <v>341</v>
      </c>
      <c r="L227" s="6"/>
    </row>
    <row r="228" spans="1:12" ht="29" x14ac:dyDescent="0.35">
      <c r="A228" s="5" t="s">
        <v>1382</v>
      </c>
      <c r="B228" s="6" t="s">
        <v>1383</v>
      </c>
      <c r="C228" s="5" t="str">
        <f>"2022/06/02"</f>
        <v>2022/06/02</v>
      </c>
      <c r="D228" s="7">
        <f t="shared" si="14"/>
        <v>44714</v>
      </c>
      <c r="E228" s="7">
        <f t="shared" si="15"/>
        <v>45081</v>
      </c>
      <c r="F228" s="5" t="str">
        <f>"2023/06/04"</f>
        <v>2023/06/04</v>
      </c>
      <c r="G228" s="6" t="s">
        <v>367</v>
      </c>
      <c r="H228" s="5">
        <v>2021</v>
      </c>
      <c r="I228" s="6" t="s">
        <v>13</v>
      </c>
      <c r="J228" s="6" t="s">
        <v>222</v>
      </c>
      <c r="K228" s="6" t="s">
        <v>1384</v>
      </c>
      <c r="L228" s="6"/>
    </row>
    <row r="229" spans="1:12" x14ac:dyDescent="0.35">
      <c r="A229" s="5" t="s">
        <v>509</v>
      </c>
      <c r="B229" s="6" t="s">
        <v>510</v>
      </c>
      <c r="C229" s="5" t="str">
        <f>"2022/06/01"</f>
        <v>2022/06/01</v>
      </c>
      <c r="D229" s="7">
        <f t="shared" si="14"/>
        <v>44713</v>
      </c>
      <c r="E229" s="7">
        <f t="shared" si="15"/>
        <v>45077</v>
      </c>
      <c r="F229" s="5" t="str">
        <f>"2023/05/31"</f>
        <v>2023/05/31</v>
      </c>
      <c r="G229" s="6" t="s">
        <v>61</v>
      </c>
      <c r="H229" s="5">
        <v>1964</v>
      </c>
      <c r="I229" s="6" t="s">
        <v>13</v>
      </c>
      <c r="J229" s="6" t="s">
        <v>117</v>
      </c>
      <c r="K229" s="6" t="s">
        <v>511</v>
      </c>
      <c r="L229" s="6"/>
    </row>
    <row r="230" spans="1:12" x14ac:dyDescent="0.35">
      <c r="A230" t="s">
        <v>900</v>
      </c>
      <c r="B230" s="1" t="s">
        <v>901</v>
      </c>
      <c r="C230" t="str">
        <f>"2022/06/01"</f>
        <v>2022/06/01</v>
      </c>
      <c r="D230" s="4">
        <f t="shared" si="14"/>
        <v>44713</v>
      </c>
      <c r="E230" s="4">
        <f t="shared" si="15"/>
        <v>45382</v>
      </c>
      <c r="F230" t="str">
        <f>"2024/03/31"</f>
        <v>2024/03/31</v>
      </c>
      <c r="G230" s="1" t="s">
        <v>61</v>
      </c>
      <c r="H230">
        <v>2018</v>
      </c>
      <c r="I230" s="1" t="s">
        <v>13</v>
      </c>
      <c r="J230" s="1" t="s">
        <v>117</v>
      </c>
      <c r="K230" s="1" t="s">
        <v>902</v>
      </c>
    </row>
    <row r="231" spans="1:12" x14ac:dyDescent="0.35">
      <c r="A231" t="s">
        <v>1076</v>
      </c>
      <c r="B231" s="1" t="s">
        <v>1077</v>
      </c>
      <c r="C231" t="str">
        <f>"2022/06/01"</f>
        <v>2022/06/01</v>
      </c>
      <c r="D231" s="4">
        <f t="shared" si="14"/>
        <v>44713</v>
      </c>
      <c r="E231" s="4">
        <f t="shared" si="15"/>
        <v>45382</v>
      </c>
      <c r="F231" t="str">
        <f>"2024/03/31"</f>
        <v>2024/03/31</v>
      </c>
      <c r="G231" s="1" t="s">
        <v>1078</v>
      </c>
      <c r="H231">
        <v>2020</v>
      </c>
      <c r="I231" s="1" t="s">
        <v>31</v>
      </c>
      <c r="J231" s="1" t="s">
        <v>117</v>
      </c>
      <c r="K231" s="1" t="s">
        <v>1079</v>
      </c>
    </row>
    <row r="232" spans="1:12" x14ac:dyDescent="0.35">
      <c r="A232" t="s">
        <v>1319</v>
      </c>
      <c r="B232" s="1" t="s">
        <v>1320</v>
      </c>
      <c r="C232" t="str">
        <f>"2022/06/01"</f>
        <v>2022/06/01</v>
      </c>
      <c r="D232" s="4">
        <f t="shared" si="14"/>
        <v>44713</v>
      </c>
      <c r="E232" s="4">
        <f t="shared" si="15"/>
        <v>45444</v>
      </c>
      <c r="F232" t="str">
        <f>"2024/06/01"</f>
        <v>2024/06/01</v>
      </c>
      <c r="G232" s="1" t="s">
        <v>5</v>
      </c>
      <c r="H232">
        <v>1956</v>
      </c>
      <c r="I232" s="1" t="s">
        <v>13</v>
      </c>
      <c r="J232" s="1" t="s">
        <v>50</v>
      </c>
      <c r="K232" s="1" t="s">
        <v>24</v>
      </c>
    </row>
    <row r="233" spans="1:12" x14ac:dyDescent="0.35">
      <c r="A233" t="s">
        <v>1315</v>
      </c>
      <c r="B233" s="1" t="s">
        <v>1316</v>
      </c>
      <c r="C233" t="str">
        <f>"2022/05/23"</f>
        <v>2022/05/23</v>
      </c>
      <c r="D233" s="4">
        <f t="shared" si="14"/>
        <v>44704</v>
      </c>
      <c r="E233" s="4">
        <f t="shared" si="15"/>
        <v>45413</v>
      </c>
      <c r="F233" t="str">
        <f>"2024/05/01"</f>
        <v>2024/05/01</v>
      </c>
      <c r="G233" s="1" t="s">
        <v>61</v>
      </c>
      <c r="H233">
        <v>2018</v>
      </c>
      <c r="I233" s="1" t="s">
        <v>7</v>
      </c>
      <c r="J233" s="1" t="s">
        <v>8</v>
      </c>
      <c r="K233" s="1" t="s">
        <v>145</v>
      </c>
    </row>
    <row r="234" spans="1:12" x14ac:dyDescent="0.35">
      <c r="A234" s="5" t="s">
        <v>1310</v>
      </c>
      <c r="B234" s="6" t="s">
        <v>1311</v>
      </c>
      <c r="C234" s="5" t="str">
        <f>"2022/05/19"</f>
        <v>2022/05/19</v>
      </c>
      <c r="D234" s="7">
        <f t="shared" si="14"/>
        <v>44700</v>
      </c>
      <c r="E234" s="7">
        <f t="shared" si="15"/>
        <v>45047</v>
      </c>
      <c r="F234" s="5" t="str">
        <f>"2023/05/01"</f>
        <v>2023/05/01</v>
      </c>
      <c r="G234" s="6" t="s">
        <v>5</v>
      </c>
      <c r="H234" s="5">
        <v>2009</v>
      </c>
      <c r="I234" s="6" t="s">
        <v>13</v>
      </c>
      <c r="J234" s="6" t="s">
        <v>22</v>
      </c>
      <c r="K234" s="6" t="s">
        <v>1312</v>
      </c>
      <c r="L234" s="6"/>
    </row>
    <row r="235" spans="1:12" x14ac:dyDescent="0.35">
      <c r="A235" t="s">
        <v>1313</v>
      </c>
      <c r="B235" s="1" t="s">
        <v>1314</v>
      </c>
      <c r="C235" t="str">
        <f>"2022/05/19"</f>
        <v>2022/05/19</v>
      </c>
      <c r="D235" s="4">
        <f t="shared" si="14"/>
        <v>44700</v>
      </c>
      <c r="E235" s="4">
        <f t="shared" si="15"/>
        <v>45413</v>
      </c>
      <c r="F235" t="str">
        <f>"2024/05/01"</f>
        <v>2024/05/01</v>
      </c>
      <c r="G235" s="1" t="s">
        <v>49</v>
      </c>
      <c r="H235">
        <v>2017</v>
      </c>
      <c r="I235" s="1" t="s">
        <v>12</v>
      </c>
      <c r="J235" s="1" t="s">
        <v>13</v>
      </c>
      <c r="K235" s="1" t="s">
        <v>1116</v>
      </c>
    </row>
    <row r="236" spans="1:12" x14ac:dyDescent="0.35">
      <c r="A236" t="s">
        <v>1224</v>
      </c>
      <c r="B236" s="1" t="s">
        <v>1225</v>
      </c>
      <c r="C236" t="str">
        <f>"2022/05/17"</f>
        <v>2022/05/17</v>
      </c>
      <c r="D236" s="4">
        <f t="shared" si="14"/>
        <v>44698</v>
      </c>
      <c r="E236" s="4">
        <f t="shared" si="15"/>
        <v>47538</v>
      </c>
      <c r="F236" t="str">
        <f>"2030/02/24"</f>
        <v>2030/02/24</v>
      </c>
      <c r="G236" s="1" t="s">
        <v>101</v>
      </c>
      <c r="H236">
        <v>2022</v>
      </c>
      <c r="I236" s="1" t="s">
        <v>13</v>
      </c>
      <c r="J236" s="1" t="s">
        <v>125</v>
      </c>
      <c r="K236" s="1" t="s">
        <v>1226</v>
      </c>
    </row>
    <row r="237" spans="1:12" x14ac:dyDescent="0.35">
      <c r="A237" s="5" t="s">
        <v>1385</v>
      </c>
      <c r="B237" s="6" t="s">
        <v>1386</v>
      </c>
      <c r="C237" s="5" t="str">
        <f>"2022/05/09"</f>
        <v>2022/05/09</v>
      </c>
      <c r="D237" s="7">
        <f t="shared" si="14"/>
        <v>44690</v>
      </c>
      <c r="E237" s="7">
        <f t="shared" si="15"/>
        <v>45047</v>
      </c>
      <c r="F237" s="5" t="str">
        <f>"2023/05/01"</f>
        <v>2023/05/01</v>
      </c>
      <c r="G237" s="6" t="s">
        <v>36</v>
      </c>
      <c r="H237" s="5">
        <v>2021</v>
      </c>
      <c r="I237" s="6" t="s">
        <v>13</v>
      </c>
      <c r="J237" s="6" t="s">
        <v>8</v>
      </c>
      <c r="K237" s="6" t="s">
        <v>1387</v>
      </c>
      <c r="L237" s="6"/>
    </row>
    <row r="238" spans="1:12" x14ac:dyDescent="0.35">
      <c r="A238" t="s">
        <v>624</v>
      </c>
      <c r="B238" s="1" t="s">
        <v>625</v>
      </c>
      <c r="C238" t="str">
        <f>"2022/05/05"</f>
        <v>2022/05/05</v>
      </c>
      <c r="D238" s="4">
        <f t="shared" si="14"/>
        <v>44686</v>
      </c>
      <c r="E238" s="4">
        <f t="shared" si="15"/>
        <v>45443</v>
      </c>
      <c r="F238" t="str">
        <f>"2024/05/31"</f>
        <v>2024/05/31</v>
      </c>
      <c r="G238" s="1" t="s">
        <v>61</v>
      </c>
      <c r="H238">
        <v>2017</v>
      </c>
      <c r="I238" s="1" t="s">
        <v>124</v>
      </c>
      <c r="J238" s="1" t="s">
        <v>50</v>
      </c>
      <c r="K238" s="1" t="s">
        <v>626</v>
      </c>
    </row>
    <row r="239" spans="1:12" x14ac:dyDescent="0.35">
      <c r="A239" t="s">
        <v>958</v>
      </c>
      <c r="B239" s="1" t="s">
        <v>959</v>
      </c>
      <c r="C239" t="str">
        <f>"2022/05/01"</f>
        <v>2022/05/01</v>
      </c>
      <c r="D239" s="4">
        <f t="shared" si="14"/>
        <v>44682</v>
      </c>
      <c r="E239" s="4">
        <f t="shared" si="15"/>
        <v>45443</v>
      </c>
      <c r="F239" t="str">
        <f>"2024/05/31"</f>
        <v>2024/05/31</v>
      </c>
      <c r="G239" s="1" t="s">
        <v>61</v>
      </c>
      <c r="H239">
        <v>2018</v>
      </c>
      <c r="I239" s="1" t="s">
        <v>12</v>
      </c>
      <c r="J239" s="1" t="s">
        <v>13</v>
      </c>
      <c r="K239" s="1" t="s">
        <v>211</v>
      </c>
    </row>
    <row r="240" spans="1:12" x14ac:dyDescent="0.35">
      <c r="A240" t="s">
        <v>377</v>
      </c>
      <c r="B240" s="1" t="s">
        <v>378</v>
      </c>
      <c r="C240" t="str">
        <f>"2022/05/01"</f>
        <v>2022/05/01</v>
      </c>
      <c r="D240" s="4">
        <f t="shared" si="14"/>
        <v>44682</v>
      </c>
      <c r="E240" s="4">
        <f t="shared" si="15"/>
        <v>47158</v>
      </c>
      <c r="F240" t="str">
        <f>"2029/02/09"</f>
        <v>2029/02/09</v>
      </c>
      <c r="G240" s="1" t="s">
        <v>5</v>
      </c>
      <c r="H240">
        <v>1966</v>
      </c>
      <c r="I240" s="1" t="s">
        <v>13</v>
      </c>
      <c r="J240" s="1" t="s">
        <v>37</v>
      </c>
      <c r="K240" s="1" t="s">
        <v>379</v>
      </c>
    </row>
    <row r="241" spans="1:12" x14ac:dyDescent="0.35">
      <c r="A241" t="s">
        <v>533</v>
      </c>
      <c r="B241" s="1" t="s">
        <v>534</v>
      </c>
      <c r="C241" t="str">
        <f>"2022/05/01"</f>
        <v>2022/05/01</v>
      </c>
      <c r="D241" s="4">
        <f t="shared" si="14"/>
        <v>44682</v>
      </c>
      <c r="E241" s="4">
        <f t="shared" si="15"/>
        <v>47158</v>
      </c>
      <c r="F241" t="str">
        <f>"2029/02/09"</f>
        <v>2029/02/09</v>
      </c>
      <c r="G241" s="1" t="s">
        <v>5</v>
      </c>
      <c r="H241">
        <v>1974</v>
      </c>
      <c r="I241" s="1" t="s">
        <v>13</v>
      </c>
      <c r="J241" s="1" t="s">
        <v>37</v>
      </c>
      <c r="K241" s="1" t="s">
        <v>379</v>
      </c>
    </row>
    <row r="242" spans="1:12" x14ac:dyDescent="0.35">
      <c r="A242" t="s">
        <v>569</v>
      </c>
      <c r="B242" s="1" t="s">
        <v>570</v>
      </c>
      <c r="C242" t="str">
        <f>"2022/05/01"</f>
        <v>2022/05/01</v>
      </c>
      <c r="D242" s="4">
        <f t="shared" si="14"/>
        <v>44682</v>
      </c>
      <c r="E242" s="4">
        <f t="shared" si="15"/>
        <v>47158</v>
      </c>
      <c r="F242" t="str">
        <f>"2029/02/09"</f>
        <v>2029/02/09</v>
      </c>
      <c r="G242" s="1" t="s">
        <v>5</v>
      </c>
      <c r="H242">
        <v>1969</v>
      </c>
      <c r="I242" s="1" t="s">
        <v>13</v>
      </c>
      <c r="J242" s="1" t="s">
        <v>7</v>
      </c>
      <c r="K242" s="1" t="s">
        <v>379</v>
      </c>
    </row>
    <row r="243" spans="1:12" x14ac:dyDescent="0.35">
      <c r="A243" s="5" t="s">
        <v>909</v>
      </c>
      <c r="B243" s="6" t="s">
        <v>910</v>
      </c>
      <c r="C243" s="5" t="str">
        <f>"2022/04/29"</f>
        <v>2022/04/29</v>
      </c>
      <c r="D243" s="7">
        <f t="shared" si="14"/>
        <v>44680</v>
      </c>
      <c r="E243" s="7">
        <f t="shared" si="15"/>
        <v>45047</v>
      </c>
      <c r="F243" s="5" t="str">
        <f>"2023/05/01"</f>
        <v>2023/05/01</v>
      </c>
      <c r="G243" s="6" t="s">
        <v>367</v>
      </c>
      <c r="H243" s="5">
        <v>2018</v>
      </c>
      <c r="I243" s="6" t="s">
        <v>12</v>
      </c>
      <c r="J243" s="6" t="s">
        <v>13</v>
      </c>
      <c r="K243" s="6" t="s">
        <v>875</v>
      </c>
      <c r="L243" s="6"/>
    </row>
    <row r="244" spans="1:12" x14ac:dyDescent="0.35">
      <c r="A244" s="5" t="s">
        <v>1308</v>
      </c>
      <c r="B244" s="6" t="s">
        <v>1309</v>
      </c>
      <c r="C244" s="5" t="str">
        <f>"2022/04/28"</f>
        <v>2022/04/28</v>
      </c>
      <c r="D244" s="7">
        <f t="shared" si="14"/>
        <v>44679</v>
      </c>
      <c r="E244" s="7">
        <f t="shared" si="15"/>
        <v>45017</v>
      </c>
      <c r="F244" s="5" t="str">
        <f>"2023/04/01"</f>
        <v>2023/04/01</v>
      </c>
      <c r="G244" s="6" t="s">
        <v>5</v>
      </c>
      <c r="H244" s="5">
        <v>2016</v>
      </c>
      <c r="I244" s="6" t="s">
        <v>13</v>
      </c>
      <c r="J244" s="6" t="s">
        <v>37</v>
      </c>
      <c r="K244" s="6" t="s">
        <v>371</v>
      </c>
      <c r="L244" s="6"/>
    </row>
    <row r="245" spans="1:12" x14ac:dyDescent="0.35">
      <c r="A245" t="s">
        <v>1306</v>
      </c>
      <c r="B245" s="1" t="s">
        <v>1307</v>
      </c>
      <c r="C245" t="str">
        <f>"2022/04/25"</f>
        <v>2022/04/25</v>
      </c>
      <c r="D245" s="4">
        <f t="shared" si="14"/>
        <v>44676</v>
      </c>
      <c r="E245" s="4">
        <f t="shared" si="15"/>
        <v>45383</v>
      </c>
      <c r="F245" t="str">
        <f>"2024/04/01"</f>
        <v>2024/04/01</v>
      </c>
      <c r="G245" s="1" t="s">
        <v>5</v>
      </c>
      <c r="H245">
        <v>2014</v>
      </c>
      <c r="I245" s="1" t="s">
        <v>13</v>
      </c>
      <c r="K245" s="1" t="s">
        <v>789</v>
      </c>
    </row>
    <row r="246" spans="1:12" x14ac:dyDescent="0.35">
      <c r="A246" t="s">
        <v>1296</v>
      </c>
      <c r="B246" s="1" t="s">
        <v>1297</v>
      </c>
      <c r="C246" t="str">
        <f>"2022/04/21"</f>
        <v>2022/04/21</v>
      </c>
      <c r="D246" s="4">
        <f t="shared" si="14"/>
        <v>44672</v>
      </c>
      <c r="E246" s="4">
        <f t="shared" si="15"/>
        <v>45412</v>
      </c>
      <c r="F246" t="str">
        <f>"2024/04/30"</f>
        <v>2024/04/30</v>
      </c>
      <c r="G246" s="1" t="s">
        <v>513</v>
      </c>
      <c r="H246">
        <v>2001</v>
      </c>
      <c r="I246" s="1" t="s">
        <v>41</v>
      </c>
      <c r="J246" s="1" t="s">
        <v>13</v>
      </c>
      <c r="K246" s="1" t="s">
        <v>632</v>
      </c>
    </row>
    <row r="247" spans="1:12" x14ac:dyDescent="0.35">
      <c r="A247" t="s">
        <v>1298</v>
      </c>
      <c r="B247" s="1" t="s">
        <v>1299</v>
      </c>
      <c r="C247" t="str">
        <f>"2022/04/21"</f>
        <v>2022/04/21</v>
      </c>
      <c r="D247" s="4">
        <f t="shared" si="14"/>
        <v>44672</v>
      </c>
      <c r="E247" s="4">
        <f t="shared" si="15"/>
        <v>45412</v>
      </c>
      <c r="F247" t="str">
        <f>"2024/04/30"</f>
        <v>2024/04/30</v>
      </c>
      <c r="G247" s="1" t="s">
        <v>513</v>
      </c>
      <c r="H247">
        <v>2003</v>
      </c>
      <c r="I247" s="1" t="s">
        <v>41</v>
      </c>
      <c r="J247" s="1" t="s">
        <v>124</v>
      </c>
      <c r="K247" s="1" t="s">
        <v>632</v>
      </c>
    </row>
    <row r="248" spans="1:12" ht="29" x14ac:dyDescent="0.35">
      <c r="A248" s="5" t="s">
        <v>249</v>
      </c>
      <c r="B248" s="6" t="s">
        <v>250</v>
      </c>
      <c r="C248" s="5" t="str">
        <f>"2022/04/18"</f>
        <v>2022/04/18</v>
      </c>
      <c r="D248" s="7">
        <f t="shared" si="14"/>
        <v>44669</v>
      </c>
      <c r="E248" s="7">
        <f t="shared" si="15"/>
        <v>45017</v>
      </c>
      <c r="F248" s="5" t="str">
        <f>"2023/04/01"</f>
        <v>2023/04/01</v>
      </c>
      <c r="G248" s="6" t="s">
        <v>251</v>
      </c>
      <c r="H248" s="5">
        <v>2013</v>
      </c>
      <c r="I248" s="6" t="s">
        <v>124</v>
      </c>
      <c r="J248" s="6" t="s">
        <v>13</v>
      </c>
      <c r="K248" s="6" t="s">
        <v>252</v>
      </c>
      <c r="L248" s="6"/>
    </row>
    <row r="249" spans="1:12" x14ac:dyDescent="0.35">
      <c r="A249" s="5" t="s">
        <v>652</v>
      </c>
      <c r="B249" s="6" t="s">
        <v>653</v>
      </c>
      <c r="C249" s="5" t="str">
        <f>"2022/04/18"</f>
        <v>2022/04/18</v>
      </c>
      <c r="D249" s="7">
        <f t="shared" si="14"/>
        <v>44669</v>
      </c>
      <c r="E249" s="7">
        <f t="shared" si="15"/>
        <v>45017</v>
      </c>
      <c r="F249" s="5" t="str">
        <f>"2023/04/01"</f>
        <v>2023/04/01</v>
      </c>
      <c r="G249" s="6" t="s">
        <v>61</v>
      </c>
      <c r="H249" s="5">
        <v>2017</v>
      </c>
      <c r="I249" s="6" t="s">
        <v>13</v>
      </c>
      <c r="J249" s="6"/>
      <c r="K249" s="6" t="s">
        <v>654</v>
      </c>
      <c r="L249" s="6"/>
    </row>
    <row r="250" spans="1:12" x14ac:dyDescent="0.35">
      <c r="A250" t="s">
        <v>755</v>
      </c>
      <c r="B250" s="1" t="s">
        <v>756</v>
      </c>
      <c r="C250" t="str">
        <f>"2022/04/08"</f>
        <v>2022/04/08</v>
      </c>
      <c r="D250" s="4">
        <f t="shared" si="14"/>
        <v>44659</v>
      </c>
      <c r="E250" s="4">
        <f t="shared" si="15"/>
        <v>47785</v>
      </c>
      <c r="F250" t="str">
        <f>"2030/10/29"</f>
        <v>2030/10/29</v>
      </c>
      <c r="G250" s="1" t="s">
        <v>49</v>
      </c>
      <c r="H250">
        <v>1957</v>
      </c>
      <c r="I250" s="1" t="s">
        <v>6</v>
      </c>
      <c r="J250" s="1" t="s">
        <v>13</v>
      </c>
      <c r="K250" s="1" t="s">
        <v>51</v>
      </c>
    </row>
    <row r="251" spans="1:12" x14ac:dyDescent="0.35">
      <c r="A251" t="s">
        <v>212</v>
      </c>
      <c r="B251" s="1" t="s">
        <v>213</v>
      </c>
      <c r="C251" t="str">
        <f>"2022/04/04"</f>
        <v>2022/04/04</v>
      </c>
      <c r="D251" s="4">
        <f t="shared" si="14"/>
        <v>44655</v>
      </c>
      <c r="E251" s="4">
        <f t="shared" si="15"/>
        <v>45383</v>
      </c>
      <c r="F251" t="str">
        <f>"2024/04/01"</f>
        <v>2024/04/01</v>
      </c>
      <c r="G251" s="1" t="s">
        <v>214</v>
      </c>
      <c r="H251">
        <v>2013</v>
      </c>
      <c r="I251" s="1" t="s">
        <v>13</v>
      </c>
      <c r="K251" s="1" t="s">
        <v>215</v>
      </c>
    </row>
    <row r="252" spans="1:12" x14ac:dyDescent="0.35">
      <c r="A252" t="s">
        <v>216</v>
      </c>
      <c r="B252" s="1" t="s">
        <v>217</v>
      </c>
      <c r="C252" t="str">
        <f>"2022/04/04"</f>
        <v>2022/04/04</v>
      </c>
      <c r="D252" s="4">
        <f t="shared" si="14"/>
        <v>44655</v>
      </c>
      <c r="E252" s="4">
        <f t="shared" si="15"/>
        <v>45383</v>
      </c>
      <c r="F252" t="str">
        <f>"2024/04/01"</f>
        <v>2024/04/01</v>
      </c>
      <c r="G252" s="1" t="s">
        <v>214</v>
      </c>
      <c r="H252">
        <v>2013</v>
      </c>
      <c r="I252" s="1" t="s">
        <v>13</v>
      </c>
      <c r="K252" s="1" t="s">
        <v>215</v>
      </c>
    </row>
    <row r="253" spans="1:12" x14ac:dyDescent="0.35">
      <c r="A253" s="5" t="s">
        <v>1020</v>
      </c>
      <c r="B253" s="6" t="s">
        <v>1021</v>
      </c>
      <c r="C253" s="5" t="str">
        <f>"2022/04/01"</f>
        <v>2022/04/01</v>
      </c>
      <c r="D253" s="7">
        <f t="shared" si="14"/>
        <v>44652</v>
      </c>
      <c r="E253" s="7">
        <f t="shared" si="15"/>
        <v>45017</v>
      </c>
      <c r="F253" s="5" t="str">
        <f>"2023/04/01"</f>
        <v>2023/04/01</v>
      </c>
      <c r="G253" s="6" t="s">
        <v>36</v>
      </c>
      <c r="H253" s="5">
        <v>1976</v>
      </c>
      <c r="I253" s="6" t="s">
        <v>124</v>
      </c>
      <c r="J253" s="6" t="s">
        <v>13</v>
      </c>
      <c r="K253" s="6" t="s">
        <v>1022</v>
      </c>
      <c r="L253" s="6"/>
    </row>
    <row r="254" spans="1:12" x14ac:dyDescent="0.35">
      <c r="A254" t="s">
        <v>1255</v>
      </c>
      <c r="B254" s="1" t="s">
        <v>1256</v>
      </c>
      <c r="C254" t="str">
        <f>"2022/04/01"</f>
        <v>2022/04/01</v>
      </c>
      <c r="D254" s="4">
        <f t="shared" si="14"/>
        <v>44652</v>
      </c>
      <c r="E254" s="4">
        <f t="shared" si="15"/>
        <v>45383</v>
      </c>
      <c r="F254" t="str">
        <f>"2024/04/01"</f>
        <v>2024/04/01</v>
      </c>
      <c r="G254" s="1" t="s">
        <v>916</v>
      </c>
      <c r="H254">
        <v>2021</v>
      </c>
      <c r="I254" s="1" t="s">
        <v>12</v>
      </c>
      <c r="J254" s="1" t="s">
        <v>13</v>
      </c>
      <c r="K254" s="1" t="s">
        <v>1257</v>
      </c>
    </row>
    <row r="255" spans="1:12" x14ac:dyDescent="0.35">
      <c r="A255" t="s">
        <v>749</v>
      </c>
      <c r="B255" s="1" t="s">
        <v>750</v>
      </c>
      <c r="C255" t="str">
        <f>"2022/04/01"</f>
        <v>2022/04/01</v>
      </c>
      <c r="D255" s="4">
        <f t="shared" si="14"/>
        <v>44652</v>
      </c>
      <c r="E255" s="4">
        <f t="shared" si="15"/>
        <v>47785</v>
      </c>
      <c r="F255" t="str">
        <f>"2030/10/29"</f>
        <v>2030/10/29</v>
      </c>
      <c r="G255" s="1" t="s">
        <v>49</v>
      </c>
      <c r="H255">
        <v>1957</v>
      </c>
      <c r="I255" s="1" t="s">
        <v>6</v>
      </c>
      <c r="J255" s="1" t="s">
        <v>13</v>
      </c>
      <c r="K255" s="1" t="s">
        <v>51</v>
      </c>
    </row>
    <row r="256" spans="1:12" x14ac:dyDescent="0.35">
      <c r="A256" t="s">
        <v>1300</v>
      </c>
      <c r="B256" s="1" t="s">
        <v>1301</v>
      </c>
      <c r="C256" t="str">
        <f>"2022/03/24"</f>
        <v>2022/03/24</v>
      </c>
      <c r="D256" s="4">
        <f t="shared" si="14"/>
        <v>44644</v>
      </c>
      <c r="E256" s="4">
        <f t="shared" si="15"/>
        <v>45352</v>
      </c>
      <c r="F256" t="str">
        <f>"2024/03/01"</f>
        <v>2024/03/01</v>
      </c>
      <c r="G256" s="1" t="s">
        <v>539</v>
      </c>
      <c r="H256">
        <v>2011</v>
      </c>
      <c r="I256" s="1" t="s">
        <v>13</v>
      </c>
      <c r="K256" s="1" t="s">
        <v>1302</v>
      </c>
    </row>
    <row r="257" spans="1:12" x14ac:dyDescent="0.35">
      <c r="A257" t="s">
        <v>1063</v>
      </c>
      <c r="B257" s="1" t="s">
        <v>1064</v>
      </c>
      <c r="C257" t="str">
        <f>"2022/03/21"</f>
        <v>2022/03/21</v>
      </c>
      <c r="D257" s="4">
        <f t="shared" si="14"/>
        <v>44641</v>
      </c>
      <c r="E257" s="4">
        <f t="shared" si="15"/>
        <v>45371</v>
      </c>
      <c r="F257" t="str">
        <f>"2024/03/20"</f>
        <v>2024/03/20</v>
      </c>
      <c r="G257" s="1" t="s">
        <v>61</v>
      </c>
      <c r="H257">
        <v>2015</v>
      </c>
      <c r="I257" s="1" t="s">
        <v>13</v>
      </c>
      <c r="K257" s="1" t="s">
        <v>1010</v>
      </c>
    </row>
    <row r="258" spans="1:12" x14ac:dyDescent="0.35">
      <c r="A258" t="s">
        <v>630</v>
      </c>
      <c r="B258" s="1" t="s">
        <v>631</v>
      </c>
      <c r="C258" t="str">
        <f>"2022/03/18"</f>
        <v>2022/03/18</v>
      </c>
      <c r="D258" s="4">
        <f t="shared" ref="D258:D321" si="16">DATEVALUE(C258)</f>
        <v>44638</v>
      </c>
      <c r="E258" s="4">
        <f t="shared" ref="E258:E321" si="17">DATEVALUE(F258)</f>
        <v>45352</v>
      </c>
      <c r="F258" t="str">
        <f>"2024/03/01"</f>
        <v>2024/03/01</v>
      </c>
      <c r="G258" s="1" t="s">
        <v>513</v>
      </c>
      <c r="H258">
        <v>2016</v>
      </c>
      <c r="I258" s="1" t="s">
        <v>13</v>
      </c>
      <c r="J258" s="1" t="s">
        <v>22</v>
      </c>
      <c r="K258" s="1" t="s">
        <v>632</v>
      </c>
    </row>
    <row r="259" spans="1:12" x14ac:dyDescent="0.35">
      <c r="A259" t="s">
        <v>627</v>
      </c>
      <c r="B259" s="1" t="s">
        <v>628</v>
      </c>
      <c r="C259" t="str">
        <f>"2022/03/17"</f>
        <v>2022/03/17</v>
      </c>
      <c r="D259" s="4">
        <f t="shared" si="16"/>
        <v>44637</v>
      </c>
      <c r="E259" s="4">
        <f t="shared" si="17"/>
        <v>45382</v>
      </c>
      <c r="F259" t="str">
        <f>"2024/03/31"</f>
        <v>2024/03/31</v>
      </c>
      <c r="G259" s="1" t="s">
        <v>512</v>
      </c>
      <c r="H259">
        <v>2016</v>
      </c>
      <c r="I259" s="1" t="s">
        <v>8</v>
      </c>
      <c r="J259" s="1" t="s">
        <v>37</v>
      </c>
      <c r="K259" s="1" t="s">
        <v>629</v>
      </c>
    </row>
    <row r="260" spans="1:12" x14ac:dyDescent="0.35">
      <c r="A260" t="s">
        <v>354</v>
      </c>
      <c r="B260" s="1" t="s">
        <v>355</v>
      </c>
      <c r="C260" t="str">
        <f>"2022/03/07"</f>
        <v>2022/03/07</v>
      </c>
      <c r="D260" s="4">
        <f t="shared" si="16"/>
        <v>44627</v>
      </c>
      <c r="E260" s="4">
        <f t="shared" si="17"/>
        <v>45352</v>
      </c>
      <c r="F260" t="str">
        <f>"2024/03/01"</f>
        <v>2024/03/01</v>
      </c>
      <c r="G260" s="1" t="s">
        <v>188</v>
      </c>
      <c r="H260">
        <v>2014</v>
      </c>
      <c r="I260" s="1" t="s">
        <v>12</v>
      </c>
      <c r="J260" s="1" t="s">
        <v>13</v>
      </c>
      <c r="K260" s="1" t="s">
        <v>356</v>
      </c>
    </row>
    <row r="261" spans="1:12" x14ac:dyDescent="0.35">
      <c r="A261" t="s">
        <v>1291</v>
      </c>
      <c r="B261" s="1" t="s">
        <v>1292</v>
      </c>
      <c r="C261" t="str">
        <f>"2022/03/03"</f>
        <v>2022/03/03</v>
      </c>
      <c r="D261" s="4">
        <f t="shared" si="16"/>
        <v>44623</v>
      </c>
      <c r="E261" s="4">
        <f t="shared" si="17"/>
        <v>47450</v>
      </c>
      <c r="F261" t="str">
        <f>"2029/11/28"</f>
        <v>2029/11/28</v>
      </c>
      <c r="G261" s="1" t="s">
        <v>289</v>
      </c>
      <c r="H261">
        <v>1980</v>
      </c>
      <c r="I261" s="1" t="s">
        <v>13</v>
      </c>
      <c r="K261" s="1" t="s">
        <v>1293</v>
      </c>
    </row>
    <row r="262" spans="1:12" x14ac:dyDescent="0.35">
      <c r="A262" t="s">
        <v>1288</v>
      </c>
      <c r="B262" s="1" t="s">
        <v>1289</v>
      </c>
      <c r="C262" t="str">
        <f>"2022/02/14"</f>
        <v>2022/02/14</v>
      </c>
      <c r="D262" s="4">
        <f t="shared" si="16"/>
        <v>44606</v>
      </c>
      <c r="E262" s="4">
        <f t="shared" si="17"/>
        <v>46924</v>
      </c>
      <c r="F262" t="str">
        <f>"2028/06/20"</f>
        <v>2028/06/20</v>
      </c>
      <c r="G262" s="1" t="s">
        <v>227</v>
      </c>
      <c r="H262">
        <v>1989</v>
      </c>
      <c r="I262" s="1" t="s">
        <v>6</v>
      </c>
      <c r="J262" s="1" t="s">
        <v>13</v>
      </c>
      <c r="K262" s="1" t="s">
        <v>1290</v>
      </c>
    </row>
    <row r="263" spans="1:12" x14ac:dyDescent="0.35">
      <c r="A263" t="s">
        <v>906</v>
      </c>
      <c r="B263" s="1" t="s">
        <v>907</v>
      </c>
      <c r="C263" t="str">
        <f>"2022/02/07"</f>
        <v>2022/02/07</v>
      </c>
      <c r="D263" s="4">
        <f t="shared" si="16"/>
        <v>44599</v>
      </c>
      <c r="E263" s="4">
        <f t="shared" si="17"/>
        <v>45322</v>
      </c>
      <c r="F263" t="str">
        <f>"2024/01/31"</f>
        <v>2024/01/31</v>
      </c>
      <c r="G263" s="1" t="s">
        <v>61</v>
      </c>
      <c r="H263">
        <v>2017</v>
      </c>
      <c r="I263" s="1" t="s">
        <v>13</v>
      </c>
      <c r="J263" s="1" t="s">
        <v>50</v>
      </c>
      <c r="K263" s="1" t="s">
        <v>908</v>
      </c>
    </row>
    <row r="264" spans="1:12" x14ac:dyDescent="0.35">
      <c r="A264" t="s">
        <v>127</v>
      </c>
      <c r="B264" s="1" t="s">
        <v>128</v>
      </c>
      <c r="C264" t="str">
        <f>"2022/02/07"</f>
        <v>2022/02/07</v>
      </c>
      <c r="D264" s="4">
        <f t="shared" si="16"/>
        <v>44599</v>
      </c>
      <c r="E264" s="4">
        <f t="shared" si="17"/>
        <v>45351</v>
      </c>
      <c r="F264" t="str">
        <f>"2024/02/29"</f>
        <v>2024/02/29</v>
      </c>
      <c r="G264" s="1" t="s">
        <v>61</v>
      </c>
      <c r="H264">
        <v>2013</v>
      </c>
      <c r="I264" s="1" t="s">
        <v>31</v>
      </c>
      <c r="K264" s="1" t="s">
        <v>129</v>
      </c>
    </row>
    <row r="265" spans="1:12" x14ac:dyDescent="0.35">
      <c r="A265" t="s">
        <v>938</v>
      </c>
      <c r="B265" s="1" t="s">
        <v>939</v>
      </c>
      <c r="C265" t="str">
        <f>"2022/02/03"</f>
        <v>2022/02/03</v>
      </c>
      <c r="D265" s="4">
        <f t="shared" si="16"/>
        <v>44595</v>
      </c>
      <c r="E265" s="4">
        <f t="shared" si="17"/>
        <v>45322</v>
      </c>
      <c r="F265" t="str">
        <f>"2024/01/31"</f>
        <v>2024/01/31</v>
      </c>
      <c r="G265" s="1" t="s">
        <v>739</v>
      </c>
      <c r="H265">
        <v>2018</v>
      </c>
      <c r="I265" s="1" t="s">
        <v>13</v>
      </c>
      <c r="J265" s="1" t="s">
        <v>117</v>
      </c>
      <c r="K265" s="1" t="s">
        <v>940</v>
      </c>
    </row>
    <row r="266" spans="1:12" x14ac:dyDescent="0.35">
      <c r="A266" t="s">
        <v>1218</v>
      </c>
      <c r="B266" s="1" t="s">
        <v>1219</v>
      </c>
      <c r="C266" t="str">
        <f>"2022/01/24"</f>
        <v>2022/01/24</v>
      </c>
      <c r="D266" s="4">
        <f t="shared" si="16"/>
        <v>44585</v>
      </c>
      <c r="E266" s="4">
        <f t="shared" si="17"/>
        <v>46264</v>
      </c>
      <c r="F266" t="str">
        <f>"2026/08/30"</f>
        <v>2026/08/30</v>
      </c>
      <c r="G266" s="1" t="s">
        <v>61</v>
      </c>
      <c r="H266">
        <v>2021</v>
      </c>
      <c r="I266" s="1" t="s">
        <v>31</v>
      </c>
      <c r="J266" s="1" t="s">
        <v>32</v>
      </c>
      <c r="K266" s="1" t="s">
        <v>1220</v>
      </c>
    </row>
    <row r="267" spans="1:12" x14ac:dyDescent="0.35">
      <c r="A267" t="s">
        <v>362</v>
      </c>
      <c r="B267" s="1" t="s">
        <v>363</v>
      </c>
      <c r="C267" t="str">
        <f>"2022/01/17"</f>
        <v>2022/01/17</v>
      </c>
      <c r="D267" s="4">
        <f t="shared" si="16"/>
        <v>44578</v>
      </c>
      <c r="E267" s="4">
        <f t="shared" si="17"/>
        <v>45307</v>
      </c>
      <c r="F267" t="str">
        <f>"2024/01/16"</f>
        <v>2024/01/16</v>
      </c>
      <c r="G267" s="1" t="s">
        <v>5</v>
      </c>
      <c r="H267">
        <v>1986</v>
      </c>
      <c r="I267" s="1" t="s">
        <v>6</v>
      </c>
      <c r="J267" s="1" t="s">
        <v>13</v>
      </c>
      <c r="K267" s="1" t="s">
        <v>364</v>
      </c>
    </row>
    <row r="268" spans="1:12" x14ac:dyDescent="0.35">
      <c r="A268" t="s">
        <v>148</v>
      </c>
      <c r="B268" s="1" t="s">
        <v>149</v>
      </c>
      <c r="C268" t="str">
        <f>"2022/01/17"</f>
        <v>2022/01/17</v>
      </c>
      <c r="D268" s="4">
        <f t="shared" si="16"/>
        <v>44578</v>
      </c>
      <c r="E268" s="4">
        <f t="shared" si="17"/>
        <v>50100</v>
      </c>
      <c r="F268" t="str">
        <f>"2037/03/01"</f>
        <v>2037/03/01</v>
      </c>
      <c r="G268" s="1" t="s">
        <v>61</v>
      </c>
      <c r="H268">
        <v>1924</v>
      </c>
      <c r="I268" s="1" t="s">
        <v>31</v>
      </c>
      <c r="J268" s="1" t="s">
        <v>18</v>
      </c>
      <c r="K268" s="1" t="s">
        <v>150</v>
      </c>
    </row>
    <row r="269" spans="1:12" x14ac:dyDescent="0.35">
      <c r="A269" t="s">
        <v>1067</v>
      </c>
      <c r="B269" s="1" t="s">
        <v>1068</v>
      </c>
      <c r="C269" t="str">
        <f>"2022/01/10"</f>
        <v>2022/01/10</v>
      </c>
      <c r="D269" s="4">
        <f t="shared" si="16"/>
        <v>44571</v>
      </c>
      <c r="E269" s="4">
        <f t="shared" si="17"/>
        <v>45292</v>
      </c>
      <c r="F269" t="str">
        <f>"2024/01/01"</f>
        <v>2024/01/01</v>
      </c>
      <c r="G269" s="1" t="s">
        <v>815</v>
      </c>
      <c r="H269">
        <v>2019</v>
      </c>
      <c r="I269" s="1" t="s">
        <v>13</v>
      </c>
      <c r="J269" s="1" t="s">
        <v>222</v>
      </c>
      <c r="K269" s="1" t="s">
        <v>1069</v>
      </c>
    </row>
    <row r="270" spans="1:12" x14ac:dyDescent="0.35">
      <c r="A270" t="s">
        <v>271</v>
      </c>
      <c r="B270" s="1" t="s">
        <v>272</v>
      </c>
      <c r="C270" t="str">
        <f>"2022/01/10"</f>
        <v>2022/01/10</v>
      </c>
      <c r="D270" s="4">
        <f t="shared" si="16"/>
        <v>44571</v>
      </c>
      <c r="E270" s="4">
        <f t="shared" si="17"/>
        <v>46906</v>
      </c>
      <c r="F270" t="str">
        <f>"2028/06/02"</f>
        <v>2028/06/02</v>
      </c>
      <c r="G270" s="1" t="s">
        <v>61</v>
      </c>
      <c r="H270">
        <v>1961</v>
      </c>
      <c r="I270" s="1" t="s">
        <v>240</v>
      </c>
      <c r="K270" s="1" t="s">
        <v>273</v>
      </c>
    </row>
    <row r="271" spans="1:12" ht="29" x14ac:dyDescent="0.35">
      <c r="A271" t="s">
        <v>891</v>
      </c>
      <c r="B271" s="1" t="s">
        <v>892</v>
      </c>
      <c r="C271" t="str">
        <f t="shared" ref="C271:C281" si="18">"2022/01/06"</f>
        <v>2022/01/06</v>
      </c>
      <c r="D271" s="4">
        <f t="shared" si="16"/>
        <v>44567</v>
      </c>
      <c r="E271" s="4">
        <f t="shared" si="17"/>
        <v>45293</v>
      </c>
      <c r="F271" t="str">
        <f>"2024/01/02"</f>
        <v>2024/01/02</v>
      </c>
      <c r="G271" s="1" t="s">
        <v>5</v>
      </c>
      <c r="H271">
        <v>2018</v>
      </c>
      <c r="I271" s="1" t="s">
        <v>13</v>
      </c>
      <c r="K271" s="1" t="s">
        <v>893</v>
      </c>
      <c r="L271" s="1" t="s">
        <v>894</v>
      </c>
    </row>
    <row r="272" spans="1:12" x14ac:dyDescent="0.35">
      <c r="A272" t="s">
        <v>1264</v>
      </c>
      <c r="B272" s="1" t="s">
        <v>1265</v>
      </c>
      <c r="C272" t="str">
        <f t="shared" si="18"/>
        <v>2022/01/06</v>
      </c>
      <c r="D272" s="4">
        <f t="shared" si="16"/>
        <v>44567</v>
      </c>
      <c r="E272" s="4">
        <f t="shared" si="17"/>
        <v>47117</v>
      </c>
      <c r="F272" t="str">
        <f t="shared" ref="F272:F281" si="19">"2028/12/30"</f>
        <v>2028/12/30</v>
      </c>
      <c r="G272" s="1" t="s">
        <v>5</v>
      </c>
      <c r="H272">
        <v>1970</v>
      </c>
      <c r="I272" s="1" t="s">
        <v>12</v>
      </c>
      <c r="J272" s="1" t="s">
        <v>13</v>
      </c>
      <c r="K272" s="1" t="s">
        <v>1266</v>
      </c>
    </row>
    <row r="273" spans="1:12" x14ac:dyDescent="0.35">
      <c r="A273" t="s">
        <v>1267</v>
      </c>
      <c r="B273" s="1" t="s">
        <v>1268</v>
      </c>
      <c r="C273" t="str">
        <f t="shared" si="18"/>
        <v>2022/01/06</v>
      </c>
      <c r="D273" s="4">
        <f t="shared" si="16"/>
        <v>44567</v>
      </c>
      <c r="E273" s="4">
        <f t="shared" si="17"/>
        <v>47117</v>
      </c>
      <c r="F273" t="str">
        <f t="shared" si="19"/>
        <v>2028/12/30</v>
      </c>
      <c r="G273" s="1" t="s">
        <v>5</v>
      </c>
      <c r="H273">
        <v>1968</v>
      </c>
      <c r="I273" s="1" t="s">
        <v>12</v>
      </c>
      <c r="J273" s="1" t="s">
        <v>13</v>
      </c>
      <c r="K273" s="1" t="s">
        <v>1266</v>
      </c>
    </row>
    <row r="274" spans="1:12" x14ac:dyDescent="0.35">
      <c r="A274" t="s">
        <v>1269</v>
      </c>
      <c r="B274" s="1" t="s">
        <v>1270</v>
      </c>
      <c r="C274" t="str">
        <f t="shared" si="18"/>
        <v>2022/01/06</v>
      </c>
      <c r="D274" s="4">
        <f t="shared" si="16"/>
        <v>44567</v>
      </c>
      <c r="E274" s="4">
        <f t="shared" si="17"/>
        <v>47117</v>
      </c>
      <c r="F274" t="str">
        <f t="shared" si="19"/>
        <v>2028/12/30</v>
      </c>
      <c r="G274" s="1" t="s">
        <v>5</v>
      </c>
      <c r="H274">
        <v>1975</v>
      </c>
      <c r="I274" s="1" t="s">
        <v>12</v>
      </c>
      <c r="J274" s="1" t="s">
        <v>124</v>
      </c>
      <c r="K274" s="1" t="s">
        <v>1266</v>
      </c>
    </row>
    <row r="275" spans="1:12" x14ac:dyDescent="0.35">
      <c r="A275" t="s">
        <v>1271</v>
      </c>
      <c r="B275" s="1" t="s">
        <v>1272</v>
      </c>
      <c r="C275" t="str">
        <f t="shared" si="18"/>
        <v>2022/01/06</v>
      </c>
      <c r="D275" s="4">
        <f t="shared" si="16"/>
        <v>44567</v>
      </c>
      <c r="E275" s="4">
        <f t="shared" si="17"/>
        <v>47117</v>
      </c>
      <c r="F275" t="str">
        <f t="shared" si="19"/>
        <v>2028/12/30</v>
      </c>
      <c r="G275" s="1" t="s">
        <v>5</v>
      </c>
      <c r="H275">
        <v>1978</v>
      </c>
      <c r="I275" s="1" t="s">
        <v>12</v>
      </c>
      <c r="J275" s="1" t="s">
        <v>13</v>
      </c>
      <c r="K275" s="1" t="s">
        <v>1266</v>
      </c>
    </row>
    <row r="276" spans="1:12" x14ac:dyDescent="0.35">
      <c r="A276" t="s">
        <v>1273</v>
      </c>
      <c r="B276" s="1" t="s">
        <v>1274</v>
      </c>
      <c r="C276" t="str">
        <f t="shared" si="18"/>
        <v>2022/01/06</v>
      </c>
      <c r="D276" s="4">
        <f t="shared" si="16"/>
        <v>44567</v>
      </c>
      <c r="E276" s="4">
        <f t="shared" si="17"/>
        <v>47117</v>
      </c>
      <c r="F276" t="str">
        <f t="shared" si="19"/>
        <v>2028/12/30</v>
      </c>
      <c r="G276" s="1" t="s">
        <v>5</v>
      </c>
      <c r="H276">
        <v>1962</v>
      </c>
      <c r="I276" s="1" t="s">
        <v>13</v>
      </c>
      <c r="J276" s="1" t="s">
        <v>22</v>
      </c>
      <c r="K276" s="1" t="s">
        <v>1266</v>
      </c>
    </row>
    <row r="277" spans="1:12" ht="29" x14ac:dyDescent="0.35">
      <c r="A277" t="s">
        <v>1275</v>
      </c>
      <c r="B277" s="1" t="s">
        <v>1276</v>
      </c>
      <c r="C277" t="str">
        <f t="shared" si="18"/>
        <v>2022/01/06</v>
      </c>
      <c r="D277" s="4">
        <f t="shared" si="16"/>
        <v>44567</v>
      </c>
      <c r="E277" s="4">
        <f t="shared" si="17"/>
        <v>47117</v>
      </c>
      <c r="F277" t="str">
        <f t="shared" si="19"/>
        <v>2028/12/30</v>
      </c>
      <c r="G277" s="1" t="s">
        <v>5</v>
      </c>
      <c r="H277">
        <v>1971</v>
      </c>
      <c r="I277" s="1" t="s">
        <v>13</v>
      </c>
      <c r="J277" s="1" t="s">
        <v>22</v>
      </c>
      <c r="K277" s="1" t="s">
        <v>1266</v>
      </c>
    </row>
    <row r="278" spans="1:12" x14ac:dyDescent="0.35">
      <c r="A278" t="s">
        <v>1277</v>
      </c>
      <c r="B278" s="1" t="s">
        <v>1278</v>
      </c>
      <c r="C278" t="str">
        <f t="shared" si="18"/>
        <v>2022/01/06</v>
      </c>
      <c r="D278" s="4">
        <f t="shared" si="16"/>
        <v>44567</v>
      </c>
      <c r="E278" s="4">
        <f t="shared" si="17"/>
        <v>47117</v>
      </c>
      <c r="F278" t="str">
        <f t="shared" si="19"/>
        <v>2028/12/30</v>
      </c>
      <c r="G278" s="1" t="s">
        <v>5</v>
      </c>
      <c r="H278">
        <v>1960</v>
      </c>
      <c r="I278" s="1" t="s">
        <v>124</v>
      </c>
      <c r="J278" s="1" t="s">
        <v>50</v>
      </c>
      <c r="K278" s="1" t="s">
        <v>1266</v>
      </c>
    </row>
    <row r="279" spans="1:12" x14ac:dyDescent="0.35">
      <c r="A279" t="s">
        <v>1279</v>
      </c>
      <c r="B279" s="1" t="s">
        <v>1280</v>
      </c>
      <c r="C279" t="str">
        <f t="shared" si="18"/>
        <v>2022/01/06</v>
      </c>
      <c r="D279" s="4">
        <f t="shared" si="16"/>
        <v>44567</v>
      </c>
      <c r="E279" s="4">
        <f t="shared" si="17"/>
        <v>47117</v>
      </c>
      <c r="F279" t="str">
        <f t="shared" si="19"/>
        <v>2028/12/30</v>
      </c>
      <c r="G279" s="1" t="s">
        <v>5</v>
      </c>
      <c r="H279">
        <v>1981</v>
      </c>
      <c r="I279" s="1" t="s">
        <v>13</v>
      </c>
      <c r="J279" s="1" t="s">
        <v>22</v>
      </c>
      <c r="K279" s="1" t="s">
        <v>1266</v>
      </c>
    </row>
    <row r="280" spans="1:12" x14ac:dyDescent="0.35">
      <c r="A280" t="s">
        <v>1281</v>
      </c>
      <c r="B280" s="1" t="s">
        <v>1282</v>
      </c>
      <c r="C280" t="str">
        <f t="shared" si="18"/>
        <v>2022/01/06</v>
      </c>
      <c r="D280" s="4">
        <f t="shared" si="16"/>
        <v>44567</v>
      </c>
      <c r="E280" s="4">
        <f t="shared" si="17"/>
        <v>47117</v>
      </c>
      <c r="F280" t="str">
        <f t="shared" si="19"/>
        <v>2028/12/30</v>
      </c>
      <c r="G280" s="1" t="s">
        <v>5</v>
      </c>
      <c r="H280">
        <v>1957</v>
      </c>
      <c r="I280" s="1" t="s">
        <v>12</v>
      </c>
      <c r="J280" s="1" t="s">
        <v>75</v>
      </c>
      <c r="K280" s="1" t="s">
        <v>1266</v>
      </c>
    </row>
    <row r="281" spans="1:12" x14ac:dyDescent="0.35">
      <c r="A281" t="s">
        <v>1283</v>
      </c>
      <c r="B281" s="1" t="s">
        <v>1284</v>
      </c>
      <c r="C281" t="str">
        <f t="shared" si="18"/>
        <v>2022/01/06</v>
      </c>
      <c r="D281" s="4">
        <f t="shared" si="16"/>
        <v>44567</v>
      </c>
      <c r="E281" s="4">
        <f t="shared" si="17"/>
        <v>47117</v>
      </c>
      <c r="F281" t="str">
        <f t="shared" si="19"/>
        <v>2028/12/30</v>
      </c>
      <c r="G281" s="1" t="s">
        <v>5</v>
      </c>
      <c r="H281">
        <v>1983</v>
      </c>
      <c r="I281" s="1" t="s">
        <v>12</v>
      </c>
      <c r="J281" s="1" t="s">
        <v>13</v>
      </c>
      <c r="K281" s="1" t="s">
        <v>1266</v>
      </c>
    </row>
    <row r="282" spans="1:12" x14ac:dyDescent="0.35">
      <c r="A282" t="s">
        <v>1206</v>
      </c>
      <c r="B282" s="1" t="s">
        <v>1207</v>
      </c>
      <c r="C282" t="str">
        <f>"2022/01/03"</f>
        <v>2022/01/03</v>
      </c>
      <c r="D282" s="4">
        <f t="shared" si="16"/>
        <v>44564</v>
      </c>
      <c r="E282" s="4">
        <f t="shared" si="17"/>
        <v>45292</v>
      </c>
      <c r="F282" t="str">
        <f>"2024/01/01"</f>
        <v>2024/01/01</v>
      </c>
      <c r="G282" s="1" t="s">
        <v>647</v>
      </c>
      <c r="H282">
        <v>2020</v>
      </c>
      <c r="I282" s="1" t="s">
        <v>13</v>
      </c>
      <c r="K282" s="1" t="s">
        <v>1208</v>
      </c>
    </row>
    <row r="283" spans="1:12" x14ac:dyDescent="0.35">
      <c r="A283" t="s">
        <v>515</v>
      </c>
      <c r="B283" s="1" t="s">
        <v>516</v>
      </c>
      <c r="C283" t="str">
        <f>"2021/12/20"</f>
        <v>2021/12/20</v>
      </c>
      <c r="D283" s="4">
        <f t="shared" si="16"/>
        <v>44550</v>
      </c>
      <c r="E283" s="4">
        <f t="shared" si="17"/>
        <v>46996</v>
      </c>
      <c r="F283" t="str">
        <f>"2028/08/31"</f>
        <v>2028/08/31</v>
      </c>
      <c r="G283" s="1" t="s">
        <v>5</v>
      </c>
      <c r="H283">
        <v>1959</v>
      </c>
      <c r="I283" s="1" t="s">
        <v>8</v>
      </c>
      <c r="K283" s="1" t="s">
        <v>517</v>
      </c>
    </row>
    <row r="284" spans="1:12" x14ac:dyDescent="0.35">
      <c r="A284" t="s">
        <v>1248</v>
      </c>
      <c r="B284" s="1" t="s">
        <v>1249</v>
      </c>
      <c r="C284" t="str">
        <f>"2021/12/16"</f>
        <v>2021/12/16</v>
      </c>
      <c r="D284" s="4">
        <f t="shared" si="16"/>
        <v>44546</v>
      </c>
      <c r="E284" s="4">
        <f t="shared" si="17"/>
        <v>45444</v>
      </c>
      <c r="F284" t="str">
        <f>"2024/06/01"</f>
        <v>2024/06/01</v>
      </c>
      <c r="G284" s="1" t="s">
        <v>587</v>
      </c>
      <c r="H284">
        <v>2019</v>
      </c>
      <c r="I284" s="1" t="s">
        <v>13</v>
      </c>
      <c r="J284" s="1" t="s">
        <v>50</v>
      </c>
      <c r="K284" s="1" t="s">
        <v>260</v>
      </c>
      <c r="L284" s="1" t="s">
        <v>261</v>
      </c>
    </row>
    <row r="285" spans="1:12" x14ac:dyDescent="0.35">
      <c r="A285" t="s">
        <v>333</v>
      </c>
      <c r="B285" s="1" t="s">
        <v>334</v>
      </c>
      <c r="C285" t="str">
        <f>"2021/12/13"</f>
        <v>2021/12/13</v>
      </c>
      <c r="D285" s="4">
        <f t="shared" si="16"/>
        <v>44543</v>
      </c>
      <c r="E285" s="4">
        <f t="shared" si="17"/>
        <v>45291</v>
      </c>
      <c r="F285" t="str">
        <f>"2023/12/31"</f>
        <v>2023/12/31</v>
      </c>
      <c r="G285" s="1" t="s">
        <v>61</v>
      </c>
      <c r="H285">
        <v>1958</v>
      </c>
      <c r="I285" s="1" t="s">
        <v>6</v>
      </c>
      <c r="J285" s="1" t="s">
        <v>13</v>
      </c>
      <c r="K285" s="1" t="s">
        <v>335</v>
      </c>
    </row>
    <row r="286" spans="1:12" x14ac:dyDescent="0.35">
      <c r="A286" s="5" t="s">
        <v>1258</v>
      </c>
      <c r="B286" s="6" t="s">
        <v>1259</v>
      </c>
      <c r="C286" s="5" t="str">
        <f>"2021/12/09"</f>
        <v>2021/12/09</v>
      </c>
      <c r="D286" s="7">
        <f t="shared" si="16"/>
        <v>44539</v>
      </c>
      <c r="E286" s="7">
        <f t="shared" si="17"/>
        <v>45078</v>
      </c>
      <c r="F286" s="5" t="str">
        <f>"2023/06/01"</f>
        <v>2023/06/01</v>
      </c>
      <c r="G286" s="6" t="s">
        <v>289</v>
      </c>
      <c r="H286" s="5">
        <v>2021</v>
      </c>
      <c r="I286" s="6" t="s">
        <v>13</v>
      </c>
      <c r="J286" s="6"/>
      <c r="K286" s="6" t="s">
        <v>1260</v>
      </c>
      <c r="L286" s="6"/>
    </row>
    <row r="287" spans="1:12" x14ac:dyDescent="0.35">
      <c r="A287" t="s">
        <v>1261</v>
      </c>
      <c r="B287" s="1" t="s">
        <v>1262</v>
      </c>
      <c r="C287" t="str">
        <f>"2021/12/02"</f>
        <v>2021/12/02</v>
      </c>
      <c r="D287" s="4">
        <f t="shared" si="16"/>
        <v>44532</v>
      </c>
      <c r="E287" s="4">
        <f t="shared" si="17"/>
        <v>45260</v>
      </c>
      <c r="F287" t="str">
        <f>"2023/11/30"</f>
        <v>2023/11/30</v>
      </c>
      <c r="G287" s="1" t="s">
        <v>45</v>
      </c>
      <c r="H287">
        <v>1973</v>
      </c>
      <c r="I287" s="1" t="s">
        <v>13</v>
      </c>
      <c r="K287" s="1" t="s">
        <v>1263</v>
      </c>
    </row>
    <row r="288" spans="1:12" x14ac:dyDescent="0.35">
      <c r="A288" t="s">
        <v>1026</v>
      </c>
      <c r="B288" s="1" t="s">
        <v>1027</v>
      </c>
      <c r="C288" t="str">
        <f>"2021/11/29"</f>
        <v>2021/11/29</v>
      </c>
      <c r="D288" s="4">
        <f t="shared" si="16"/>
        <v>44529</v>
      </c>
      <c r="E288" s="4">
        <f t="shared" si="17"/>
        <v>45231</v>
      </c>
      <c r="F288" t="str">
        <f>"2023/11/01"</f>
        <v>2023/11/01</v>
      </c>
      <c r="G288" s="1" t="s">
        <v>61</v>
      </c>
      <c r="H288">
        <v>2020</v>
      </c>
      <c r="I288" s="1" t="s">
        <v>41</v>
      </c>
      <c r="J288" s="1" t="s">
        <v>13</v>
      </c>
      <c r="K288" s="1" t="s">
        <v>1028</v>
      </c>
    </row>
    <row r="289" spans="1:12" x14ac:dyDescent="0.35">
      <c r="A289" t="s">
        <v>925</v>
      </c>
      <c r="B289" s="1" t="s">
        <v>926</v>
      </c>
      <c r="C289" t="str">
        <f>"2021/11/18"</f>
        <v>2021/11/18</v>
      </c>
      <c r="D289" s="4">
        <f t="shared" si="16"/>
        <v>44518</v>
      </c>
      <c r="E289" s="4">
        <f t="shared" si="17"/>
        <v>45230</v>
      </c>
      <c r="F289" t="str">
        <f>"2023/10/31"</f>
        <v>2023/10/31</v>
      </c>
      <c r="G289" s="1" t="s">
        <v>61</v>
      </c>
      <c r="H289">
        <v>2019</v>
      </c>
      <c r="I289" s="1" t="s">
        <v>12</v>
      </c>
      <c r="K289" s="1" t="s">
        <v>927</v>
      </c>
    </row>
    <row r="290" spans="1:12" x14ac:dyDescent="0.35">
      <c r="A290" t="s">
        <v>1250</v>
      </c>
      <c r="B290" s="1" t="s">
        <v>1251</v>
      </c>
      <c r="C290" t="str">
        <f>"2021/11/11"</f>
        <v>2021/11/11</v>
      </c>
      <c r="D290" s="4">
        <f t="shared" si="16"/>
        <v>44511</v>
      </c>
      <c r="E290" s="4">
        <f t="shared" si="17"/>
        <v>47992</v>
      </c>
      <c r="F290" t="str">
        <f>"2031/05/24"</f>
        <v>2031/05/24</v>
      </c>
      <c r="G290" s="1" t="s">
        <v>1103</v>
      </c>
      <c r="H290">
        <v>2021</v>
      </c>
      <c r="I290" s="1" t="s">
        <v>13</v>
      </c>
      <c r="K290" s="1" t="s">
        <v>1252</v>
      </c>
    </row>
    <row r="291" spans="1:12" x14ac:dyDescent="0.35">
      <c r="A291" t="s">
        <v>743</v>
      </c>
      <c r="B291" s="1" t="s">
        <v>744</v>
      </c>
      <c r="C291" t="str">
        <f>"2021/11/08"</f>
        <v>2021/11/08</v>
      </c>
      <c r="D291" s="4">
        <f t="shared" si="16"/>
        <v>44508</v>
      </c>
      <c r="E291" s="4">
        <f t="shared" si="17"/>
        <v>47785</v>
      </c>
      <c r="F291" t="str">
        <f>"2030/10/29"</f>
        <v>2030/10/29</v>
      </c>
      <c r="G291" s="1" t="s">
        <v>49</v>
      </c>
      <c r="H291">
        <v>1958</v>
      </c>
      <c r="I291" s="1" t="s">
        <v>12</v>
      </c>
      <c r="J291" s="1" t="s">
        <v>13</v>
      </c>
      <c r="K291" s="1" t="s">
        <v>51</v>
      </c>
    </row>
    <row r="292" spans="1:12" x14ac:dyDescent="0.35">
      <c r="A292" t="s">
        <v>751</v>
      </c>
      <c r="B292" s="1" t="s">
        <v>752</v>
      </c>
      <c r="C292" t="str">
        <f>"2021/11/08"</f>
        <v>2021/11/08</v>
      </c>
      <c r="D292" s="4">
        <f t="shared" si="16"/>
        <v>44508</v>
      </c>
      <c r="E292" s="4">
        <f t="shared" si="17"/>
        <v>47785</v>
      </c>
      <c r="F292" t="str">
        <f>"2030/10/29"</f>
        <v>2030/10/29</v>
      </c>
      <c r="G292" s="1" t="s">
        <v>49</v>
      </c>
      <c r="H292">
        <v>1955</v>
      </c>
      <c r="I292" s="1" t="s">
        <v>12</v>
      </c>
      <c r="K292" s="1" t="s">
        <v>51</v>
      </c>
    </row>
    <row r="293" spans="1:12" x14ac:dyDescent="0.35">
      <c r="A293" t="s">
        <v>1211</v>
      </c>
      <c r="B293" s="1" t="s">
        <v>1212</v>
      </c>
      <c r="C293" t="str">
        <f>"2021/11/08"</f>
        <v>2021/11/08</v>
      </c>
      <c r="D293" s="4">
        <f t="shared" si="16"/>
        <v>44508</v>
      </c>
      <c r="E293" s="4">
        <f t="shared" si="17"/>
        <v>47785</v>
      </c>
      <c r="F293" t="str">
        <f>"2030/10/29"</f>
        <v>2030/10/29</v>
      </c>
      <c r="G293" s="1" t="s">
        <v>49</v>
      </c>
      <c r="H293">
        <v>1953</v>
      </c>
      <c r="I293" s="1" t="s">
        <v>13</v>
      </c>
      <c r="J293" s="1" t="s">
        <v>22</v>
      </c>
      <c r="K293" s="1" t="s">
        <v>51</v>
      </c>
    </row>
    <row r="294" spans="1:12" x14ac:dyDescent="0.35">
      <c r="A294" t="s">
        <v>507</v>
      </c>
      <c r="B294" s="1" t="s">
        <v>508</v>
      </c>
      <c r="C294" t="str">
        <f>"2021/11/01"</f>
        <v>2021/11/01</v>
      </c>
      <c r="D294" s="4">
        <f t="shared" si="16"/>
        <v>44501</v>
      </c>
      <c r="E294" s="4">
        <f t="shared" si="17"/>
        <v>45230</v>
      </c>
      <c r="F294" t="str">
        <f>"2023/10/31"</f>
        <v>2023/10/31</v>
      </c>
      <c r="G294" s="1" t="s">
        <v>61</v>
      </c>
      <c r="H294">
        <v>2015</v>
      </c>
      <c r="I294" s="1" t="s">
        <v>31</v>
      </c>
      <c r="J294" s="1" t="s">
        <v>22</v>
      </c>
      <c r="K294" s="1" t="s">
        <v>353</v>
      </c>
    </row>
    <row r="295" spans="1:12" x14ac:dyDescent="0.35">
      <c r="A295" t="s">
        <v>1253</v>
      </c>
      <c r="B295" s="1" t="s">
        <v>1254</v>
      </c>
      <c r="C295" t="str">
        <f>"2021/11/01"</f>
        <v>2021/11/01</v>
      </c>
      <c r="D295" s="4">
        <f t="shared" si="16"/>
        <v>44501</v>
      </c>
      <c r="E295" s="4">
        <f t="shared" si="17"/>
        <v>45230</v>
      </c>
      <c r="F295" t="str">
        <f>"2023/10/31"</f>
        <v>2023/10/31</v>
      </c>
      <c r="G295" s="1" t="s">
        <v>61</v>
      </c>
      <c r="H295">
        <v>2011</v>
      </c>
      <c r="I295" s="1" t="s">
        <v>31</v>
      </c>
      <c r="J295" s="1" t="s">
        <v>32</v>
      </c>
      <c r="K295" s="1" t="s">
        <v>353</v>
      </c>
    </row>
    <row r="296" spans="1:12" x14ac:dyDescent="0.35">
      <c r="A296" t="s">
        <v>897</v>
      </c>
      <c r="B296" s="1" t="s">
        <v>898</v>
      </c>
      <c r="C296" t="str">
        <f>"2021/10/18"</f>
        <v>2021/10/18</v>
      </c>
      <c r="D296" s="4">
        <f t="shared" si="16"/>
        <v>44487</v>
      </c>
      <c r="E296" s="4">
        <f t="shared" si="17"/>
        <v>45779</v>
      </c>
      <c r="F296" t="str">
        <f>"2025/05/02"</f>
        <v>2025/05/02</v>
      </c>
      <c r="G296" s="1" t="s">
        <v>27</v>
      </c>
      <c r="H296">
        <v>2016</v>
      </c>
      <c r="I296" s="1" t="s">
        <v>31</v>
      </c>
      <c r="K296" s="1" t="s">
        <v>899</v>
      </c>
    </row>
    <row r="297" spans="1:12" x14ac:dyDescent="0.35">
      <c r="A297" t="s">
        <v>881</v>
      </c>
      <c r="B297" s="1" t="s">
        <v>882</v>
      </c>
      <c r="C297" t="str">
        <f>"2021/10/18"</f>
        <v>2021/10/18</v>
      </c>
      <c r="D297" s="4">
        <f t="shared" si="16"/>
        <v>44487</v>
      </c>
      <c r="E297" s="4">
        <f t="shared" si="17"/>
        <v>46052</v>
      </c>
      <c r="F297" t="str">
        <f>"2026/01/30"</f>
        <v>2026/01/30</v>
      </c>
      <c r="G297" s="1" t="s">
        <v>27</v>
      </c>
      <c r="H297">
        <v>1995</v>
      </c>
      <c r="I297" s="1" t="s">
        <v>6</v>
      </c>
      <c r="J297" s="1" t="s">
        <v>13</v>
      </c>
      <c r="K297" s="1" t="s">
        <v>883</v>
      </c>
    </row>
    <row r="298" spans="1:12" x14ac:dyDescent="0.35">
      <c r="A298" t="s">
        <v>884</v>
      </c>
      <c r="B298" s="1" t="s">
        <v>885</v>
      </c>
      <c r="C298" t="str">
        <f>"2021/10/18"</f>
        <v>2021/10/18</v>
      </c>
      <c r="D298" s="4">
        <f t="shared" si="16"/>
        <v>44487</v>
      </c>
      <c r="E298" s="4">
        <f t="shared" si="17"/>
        <v>46052</v>
      </c>
      <c r="F298" t="str">
        <f>"2026/01/30"</f>
        <v>2026/01/30</v>
      </c>
      <c r="G298" s="1" t="s">
        <v>27</v>
      </c>
      <c r="H298">
        <v>1998</v>
      </c>
      <c r="I298" s="1" t="s">
        <v>13</v>
      </c>
      <c r="J298" s="1" t="s">
        <v>7</v>
      </c>
      <c r="K298" s="1" t="s">
        <v>883</v>
      </c>
    </row>
    <row r="299" spans="1:12" x14ac:dyDescent="0.35">
      <c r="A299" t="s">
        <v>886</v>
      </c>
      <c r="B299" s="1" t="s">
        <v>887</v>
      </c>
      <c r="C299" t="str">
        <f>"2021/10/18"</f>
        <v>2021/10/18</v>
      </c>
      <c r="D299" s="4">
        <f t="shared" si="16"/>
        <v>44487</v>
      </c>
      <c r="E299" s="4">
        <f t="shared" si="17"/>
        <v>46052</v>
      </c>
      <c r="F299" t="str">
        <f>"2026/01/30"</f>
        <v>2026/01/30</v>
      </c>
      <c r="G299" s="1" t="s">
        <v>27</v>
      </c>
      <c r="H299">
        <v>2008</v>
      </c>
      <c r="I299" s="1" t="s">
        <v>13</v>
      </c>
      <c r="K299" s="1" t="s">
        <v>883</v>
      </c>
    </row>
    <row r="300" spans="1:12" x14ac:dyDescent="0.35">
      <c r="A300" t="s">
        <v>888</v>
      </c>
      <c r="B300" s="1" t="s">
        <v>889</v>
      </c>
      <c r="C300" t="str">
        <f>"2021/10/18"</f>
        <v>2021/10/18</v>
      </c>
      <c r="D300" s="4">
        <f t="shared" si="16"/>
        <v>44487</v>
      </c>
      <c r="E300" s="4">
        <f t="shared" si="17"/>
        <v>46052</v>
      </c>
      <c r="F300" t="str">
        <f>"2026/01/30"</f>
        <v>2026/01/30</v>
      </c>
      <c r="G300" s="1" t="s">
        <v>27</v>
      </c>
      <c r="H300">
        <v>2003</v>
      </c>
      <c r="I300" s="1" t="s">
        <v>6</v>
      </c>
      <c r="J300" s="1" t="s">
        <v>13</v>
      </c>
      <c r="K300" s="1" t="s">
        <v>883</v>
      </c>
    </row>
    <row r="301" spans="1:12" ht="29" x14ac:dyDescent="0.35">
      <c r="A301" s="5" t="s">
        <v>1133</v>
      </c>
      <c r="B301" s="6" t="s">
        <v>1134</v>
      </c>
      <c r="C301" s="5" t="str">
        <f>"2021/10/14"</f>
        <v>2021/10/14</v>
      </c>
      <c r="D301" s="7">
        <f t="shared" si="16"/>
        <v>44483</v>
      </c>
      <c r="E301" s="7">
        <f t="shared" si="17"/>
        <v>45199</v>
      </c>
      <c r="F301" s="5" t="str">
        <f>"2023/09/30"</f>
        <v>2023/09/30</v>
      </c>
      <c r="G301" s="6" t="s">
        <v>61</v>
      </c>
      <c r="H301" s="5">
        <v>2016</v>
      </c>
      <c r="I301" s="6" t="s">
        <v>13</v>
      </c>
      <c r="J301" s="6"/>
      <c r="K301" s="6" t="s">
        <v>1135</v>
      </c>
      <c r="L301" s="6"/>
    </row>
    <row r="302" spans="1:12" x14ac:dyDescent="0.35">
      <c r="A302" t="s">
        <v>434</v>
      </c>
      <c r="B302" s="1" t="s">
        <v>435</v>
      </c>
      <c r="C302" t="str">
        <f>"2021/10/13"</f>
        <v>2021/10/13</v>
      </c>
      <c r="D302" s="4">
        <f t="shared" si="16"/>
        <v>44482</v>
      </c>
      <c r="E302" s="4">
        <f t="shared" si="17"/>
        <v>46022</v>
      </c>
      <c r="F302" t="str">
        <f>"2025/12/31"</f>
        <v>2025/12/31</v>
      </c>
      <c r="G302" s="1" t="s">
        <v>5</v>
      </c>
      <c r="H302">
        <v>1949</v>
      </c>
      <c r="I302" s="1" t="s">
        <v>6</v>
      </c>
      <c r="J302" s="1" t="s">
        <v>13</v>
      </c>
      <c r="K302" s="1" t="s">
        <v>436</v>
      </c>
    </row>
    <row r="303" spans="1:12" x14ac:dyDescent="0.35">
      <c r="A303" t="s">
        <v>465</v>
      </c>
      <c r="B303" s="1" t="s">
        <v>466</v>
      </c>
      <c r="C303" t="str">
        <f>"2021/10/13"</f>
        <v>2021/10/13</v>
      </c>
      <c r="D303" s="4">
        <f t="shared" si="16"/>
        <v>44482</v>
      </c>
      <c r="E303" s="4">
        <f t="shared" si="17"/>
        <v>46142</v>
      </c>
      <c r="F303" t="str">
        <f>"2026/04/30"</f>
        <v>2026/04/30</v>
      </c>
      <c r="G303" s="1" t="s">
        <v>5</v>
      </c>
      <c r="H303">
        <v>1961</v>
      </c>
      <c r="I303" s="1" t="s">
        <v>13</v>
      </c>
      <c r="J303" s="1" t="s">
        <v>37</v>
      </c>
      <c r="K303" s="1" t="s">
        <v>401</v>
      </c>
    </row>
    <row r="304" spans="1:12" x14ac:dyDescent="0.35">
      <c r="A304" t="s">
        <v>463</v>
      </c>
      <c r="B304" s="1" t="s">
        <v>464</v>
      </c>
      <c r="C304" t="str">
        <f>"2021/10/13"</f>
        <v>2021/10/13</v>
      </c>
      <c r="D304" s="4">
        <f t="shared" si="16"/>
        <v>44482</v>
      </c>
      <c r="E304" s="4">
        <f t="shared" si="17"/>
        <v>47026</v>
      </c>
      <c r="F304" t="str">
        <f>"2028/09/30"</f>
        <v>2028/09/30</v>
      </c>
      <c r="G304" s="1" t="s">
        <v>27</v>
      </c>
      <c r="H304">
        <v>1950</v>
      </c>
      <c r="I304" s="1" t="s">
        <v>6</v>
      </c>
      <c r="J304" s="1" t="s">
        <v>124</v>
      </c>
      <c r="K304" s="1" t="s">
        <v>42</v>
      </c>
    </row>
    <row r="305" spans="1:12" x14ac:dyDescent="0.35">
      <c r="A305" s="5" t="s">
        <v>994</v>
      </c>
      <c r="B305" s="6" t="s">
        <v>995</v>
      </c>
      <c r="C305" s="5" t="str">
        <f>"2021/10/07"</f>
        <v>2021/10/07</v>
      </c>
      <c r="D305" s="7">
        <f t="shared" si="16"/>
        <v>44476</v>
      </c>
      <c r="E305" s="7">
        <f t="shared" si="17"/>
        <v>45199</v>
      </c>
      <c r="F305" s="5" t="str">
        <f>"2023/09/30"</f>
        <v>2023/09/30</v>
      </c>
      <c r="G305" s="6" t="s">
        <v>36</v>
      </c>
      <c r="H305" s="5">
        <v>2018</v>
      </c>
      <c r="I305" s="6" t="s">
        <v>12</v>
      </c>
      <c r="J305" s="6" t="s">
        <v>13</v>
      </c>
      <c r="K305" s="6" t="s">
        <v>996</v>
      </c>
      <c r="L305" s="6"/>
    </row>
    <row r="306" spans="1:12" x14ac:dyDescent="0.35">
      <c r="A306" s="5" t="s">
        <v>615</v>
      </c>
      <c r="B306" s="6" t="s">
        <v>616</v>
      </c>
      <c r="C306" s="5" t="str">
        <f>"2021/10/01"</f>
        <v>2021/10/01</v>
      </c>
      <c r="D306" s="7">
        <f t="shared" si="16"/>
        <v>44470</v>
      </c>
      <c r="E306" s="7">
        <f t="shared" si="17"/>
        <v>45191</v>
      </c>
      <c r="F306" s="5" t="str">
        <f>"2023/09/22"</f>
        <v>2023/09/22</v>
      </c>
      <c r="G306" s="6" t="s">
        <v>36</v>
      </c>
      <c r="H306" s="5">
        <v>1991</v>
      </c>
      <c r="I306" s="6" t="s">
        <v>13</v>
      </c>
      <c r="J306" s="6" t="s">
        <v>18</v>
      </c>
      <c r="K306" s="6" t="s">
        <v>617</v>
      </c>
      <c r="L306" s="6"/>
    </row>
    <row r="307" spans="1:12" x14ac:dyDescent="0.35">
      <c r="A307" t="s">
        <v>922</v>
      </c>
      <c r="B307" s="1" t="s">
        <v>923</v>
      </c>
      <c r="C307" t="str">
        <f>"2021/10/01"</f>
        <v>2021/10/01</v>
      </c>
      <c r="D307" s="4">
        <f t="shared" si="16"/>
        <v>44470</v>
      </c>
      <c r="E307" s="4">
        <f t="shared" si="17"/>
        <v>45658</v>
      </c>
      <c r="F307" t="str">
        <f>"2025/01/01"</f>
        <v>2025/01/01</v>
      </c>
      <c r="G307" s="1" t="s">
        <v>36</v>
      </c>
      <c r="H307">
        <v>1992</v>
      </c>
      <c r="I307" s="1" t="s">
        <v>52</v>
      </c>
      <c r="J307" s="1" t="s">
        <v>13</v>
      </c>
      <c r="K307" s="1" t="s">
        <v>924</v>
      </c>
    </row>
    <row r="308" spans="1:12" x14ac:dyDescent="0.35">
      <c r="A308" t="s">
        <v>1011</v>
      </c>
      <c r="B308" s="1" t="s">
        <v>1012</v>
      </c>
      <c r="C308" t="str">
        <f>"2021/09/16"</f>
        <v>2021/09/16</v>
      </c>
      <c r="D308" s="4">
        <f t="shared" si="16"/>
        <v>44455</v>
      </c>
      <c r="E308" s="4">
        <f t="shared" si="17"/>
        <v>45352</v>
      </c>
      <c r="F308" t="str">
        <f>"2024/03/01"</f>
        <v>2024/03/01</v>
      </c>
      <c r="G308" s="1" t="s">
        <v>5</v>
      </c>
      <c r="H308">
        <v>2019</v>
      </c>
      <c r="I308" s="1" t="s">
        <v>31</v>
      </c>
      <c r="K308" s="1" t="s">
        <v>1013</v>
      </c>
    </row>
    <row r="309" spans="1:12" x14ac:dyDescent="0.35">
      <c r="A309" t="s">
        <v>1204</v>
      </c>
      <c r="B309" s="1" t="s">
        <v>1205</v>
      </c>
      <c r="C309" t="str">
        <f>"2021/09/16"</f>
        <v>2021/09/16</v>
      </c>
      <c r="D309" s="4">
        <f t="shared" si="16"/>
        <v>44455</v>
      </c>
      <c r="E309" s="4">
        <f t="shared" si="17"/>
        <v>72686</v>
      </c>
      <c r="F309" t="str">
        <f>"2099/01/01"</f>
        <v>2099/01/01</v>
      </c>
      <c r="G309" s="1" t="s">
        <v>61</v>
      </c>
      <c r="H309">
        <v>1997</v>
      </c>
      <c r="I309" s="1" t="s">
        <v>31</v>
      </c>
      <c r="K309" s="1" t="s">
        <v>139</v>
      </c>
    </row>
    <row r="310" spans="1:12" x14ac:dyDescent="0.35">
      <c r="A310" t="s">
        <v>1151</v>
      </c>
      <c r="B310" s="1" t="s">
        <v>1152</v>
      </c>
      <c r="C310" t="str">
        <f>"2021/09/02"</f>
        <v>2021/09/02</v>
      </c>
      <c r="D310" s="4">
        <f t="shared" si="16"/>
        <v>44441</v>
      </c>
      <c r="E310" s="4">
        <f t="shared" si="17"/>
        <v>45352</v>
      </c>
      <c r="F310" t="str">
        <f>"2024/03/01"</f>
        <v>2024/03/01</v>
      </c>
      <c r="G310" s="1" t="s">
        <v>289</v>
      </c>
      <c r="H310">
        <v>2013</v>
      </c>
      <c r="I310" s="1" t="s">
        <v>13</v>
      </c>
      <c r="J310" s="1" t="s">
        <v>37</v>
      </c>
      <c r="K310" s="1" t="s">
        <v>1153</v>
      </c>
    </row>
    <row r="311" spans="1:12" x14ac:dyDescent="0.35">
      <c r="A311" t="s">
        <v>1213</v>
      </c>
      <c r="B311" s="1" t="s">
        <v>1214</v>
      </c>
      <c r="C311" t="str">
        <f>"2021/09/02"</f>
        <v>2021/09/02</v>
      </c>
      <c r="D311" s="4">
        <f t="shared" si="16"/>
        <v>44441</v>
      </c>
      <c r="E311" s="4">
        <f t="shared" si="17"/>
        <v>46624</v>
      </c>
      <c r="F311" t="str">
        <f>"2027/08/25"</f>
        <v>2027/08/25</v>
      </c>
      <c r="G311" s="1" t="s">
        <v>1191</v>
      </c>
      <c r="H311">
        <v>2009</v>
      </c>
      <c r="I311" s="1" t="s">
        <v>124</v>
      </c>
      <c r="J311" s="1" t="s">
        <v>13</v>
      </c>
      <c r="K311" s="1" t="s">
        <v>1153</v>
      </c>
    </row>
    <row r="312" spans="1:12" x14ac:dyDescent="0.35">
      <c r="A312" t="s">
        <v>549</v>
      </c>
      <c r="B312" s="1" t="s">
        <v>550</v>
      </c>
      <c r="C312" t="str">
        <f>"2021/09/02"</f>
        <v>2021/09/02</v>
      </c>
      <c r="D312" s="4">
        <f t="shared" si="16"/>
        <v>44441</v>
      </c>
      <c r="E312" s="4">
        <f t="shared" si="17"/>
        <v>46857</v>
      </c>
      <c r="F312" t="str">
        <f>"2028/04/14"</f>
        <v>2028/04/14</v>
      </c>
      <c r="G312" s="1" t="s">
        <v>61</v>
      </c>
      <c r="H312">
        <v>2003</v>
      </c>
      <c r="I312" s="1" t="s">
        <v>31</v>
      </c>
      <c r="J312" s="1" t="s">
        <v>32</v>
      </c>
      <c r="K312" s="1" t="s">
        <v>233</v>
      </c>
      <c r="L312" s="1" t="s">
        <v>551</v>
      </c>
    </row>
    <row r="313" spans="1:12" x14ac:dyDescent="0.35">
      <c r="A313" t="s">
        <v>552</v>
      </c>
      <c r="B313" s="1" t="s">
        <v>553</v>
      </c>
      <c r="C313" t="str">
        <f>"2021/09/02"</f>
        <v>2021/09/02</v>
      </c>
      <c r="D313" s="4">
        <f t="shared" si="16"/>
        <v>44441</v>
      </c>
      <c r="E313" s="4">
        <f t="shared" si="17"/>
        <v>46857</v>
      </c>
      <c r="F313" t="str">
        <f>"2028/04/14"</f>
        <v>2028/04/14</v>
      </c>
      <c r="G313" s="1" t="s">
        <v>61</v>
      </c>
      <c r="H313">
        <v>2007</v>
      </c>
      <c r="I313" s="1" t="s">
        <v>31</v>
      </c>
      <c r="J313" s="1" t="s">
        <v>32</v>
      </c>
      <c r="K313" s="1" t="s">
        <v>551</v>
      </c>
    </row>
    <row r="314" spans="1:12" ht="29" x14ac:dyDescent="0.35">
      <c r="A314" t="s">
        <v>554</v>
      </c>
      <c r="B314" s="1" t="s">
        <v>555</v>
      </c>
      <c r="C314" t="str">
        <f>"2021/09/02"</f>
        <v>2021/09/02</v>
      </c>
      <c r="D314" s="4">
        <f t="shared" si="16"/>
        <v>44441</v>
      </c>
      <c r="E314" s="4">
        <f t="shared" si="17"/>
        <v>46857</v>
      </c>
      <c r="F314" t="str">
        <f>"2028/04/14"</f>
        <v>2028/04/14</v>
      </c>
      <c r="G314" s="1" t="s">
        <v>61</v>
      </c>
      <c r="H314">
        <v>2005</v>
      </c>
      <c r="I314" s="1" t="s">
        <v>31</v>
      </c>
      <c r="J314" s="1" t="s">
        <v>32</v>
      </c>
      <c r="K314" s="1" t="s">
        <v>551</v>
      </c>
    </row>
    <row r="315" spans="1:12" x14ac:dyDescent="0.35">
      <c r="A315" s="5" t="s">
        <v>1083</v>
      </c>
      <c r="B315" s="6" t="s">
        <v>1084</v>
      </c>
      <c r="C315" s="5" t="str">
        <f>"2021/08/23"</f>
        <v>2021/08/23</v>
      </c>
      <c r="D315" s="7">
        <f t="shared" si="16"/>
        <v>44431</v>
      </c>
      <c r="E315" s="7">
        <f t="shared" si="17"/>
        <v>45130</v>
      </c>
      <c r="F315" s="5" t="str">
        <f>"2023/07/23"</f>
        <v>2023/07/23</v>
      </c>
      <c r="G315" s="6" t="s">
        <v>61</v>
      </c>
      <c r="H315" s="5">
        <v>2021</v>
      </c>
      <c r="I315" s="6" t="s">
        <v>13</v>
      </c>
      <c r="J315" s="6"/>
      <c r="K315" s="6" t="s">
        <v>1085</v>
      </c>
      <c r="L315" s="6"/>
    </row>
    <row r="316" spans="1:12" x14ac:dyDescent="0.35">
      <c r="A316" t="s">
        <v>482</v>
      </c>
      <c r="B316" s="1" t="s">
        <v>483</v>
      </c>
      <c r="C316" t="str">
        <f>"2021/08/19"</f>
        <v>2021/08/19</v>
      </c>
      <c r="D316" s="4">
        <f t="shared" si="16"/>
        <v>44427</v>
      </c>
      <c r="E316" s="4">
        <f t="shared" si="17"/>
        <v>48055</v>
      </c>
      <c r="F316" t="str">
        <f>"2031/07/26"</f>
        <v>2031/07/26</v>
      </c>
      <c r="G316" s="1" t="s">
        <v>45</v>
      </c>
      <c r="H316">
        <v>1968</v>
      </c>
      <c r="I316" s="1" t="s">
        <v>6</v>
      </c>
      <c r="J316" s="1" t="s">
        <v>13</v>
      </c>
      <c r="K316" s="1" t="s">
        <v>443</v>
      </c>
    </row>
    <row r="317" spans="1:12" x14ac:dyDescent="0.35">
      <c r="A317" t="s">
        <v>1198</v>
      </c>
      <c r="B317" s="1" t="s">
        <v>1199</v>
      </c>
      <c r="C317" t="str">
        <f>"2021/08/09"</f>
        <v>2021/08/09</v>
      </c>
      <c r="D317" s="4">
        <f t="shared" si="16"/>
        <v>44417</v>
      </c>
      <c r="E317" s="4">
        <f t="shared" si="17"/>
        <v>47785</v>
      </c>
      <c r="F317" t="str">
        <f>"2030/10/29"</f>
        <v>2030/10/29</v>
      </c>
      <c r="G317" s="1" t="s">
        <v>49</v>
      </c>
      <c r="H317">
        <v>1949</v>
      </c>
      <c r="I317" s="1" t="s">
        <v>6</v>
      </c>
      <c r="J317" s="1" t="s">
        <v>13</v>
      </c>
      <c r="K317" s="1" t="s">
        <v>51</v>
      </c>
    </row>
    <row r="318" spans="1:12" x14ac:dyDescent="0.35">
      <c r="A318" t="s">
        <v>1200</v>
      </c>
      <c r="B318" s="1" t="s">
        <v>1201</v>
      </c>
      <c r="C318" t="str">
        <f>"2021/08/09"</f>
        <v>2021/08/09</v>
      </c>
      <c r="D318" s="4">
        <f t="shared" si="16"/>
        <v>44417</v>
      </c>
      <c r="E318" s="4">
        <f t="shared" si="17"/>
        <v>47785</v>
      </c>
      <c r="F318" t="str">
        <f>"2030/10/29"</f>
        <v>2030/10/29</v>
      </c>
      <c r="G318" s="1" t="s">
        <v>49</v>
      </c>
      <c r="H318">
        <v>1945</v>
      </c>
      <c r="I318" s="1" t="s">
        <v>6</v>
      </c>
      <c r="J318" s="1" t="s">
        <v>13</v>
      </c>
      <c r="K318" s="1" t="s">
        <v>51</v>
      </c>
    </row>
    <row r="319" spans="1:12" x14ac:dyDescent="0.35">
      <c r="A319" t="s">
        <v>1202</v>
      </c>
      <c r="B319" s="1" t="s">
        <v>1203</v>
      </c>
      <c r="C319" t="str">
        <f>"2021/08/09"</f>
        <v>2021/08/09</v>
      </c>
      <c r="D319" s="4">
        <f t="shared" si="16"/>
        <v>44417</v>
      </c>
      <c r="E319" s="4">
        <f t="shared" si="17"/>
        <v>47785</v>
      </c>
      <c r="F319" t="str">
        <f>"2030/10/29"</f>
        <v>2030/10/29</v>
      </c>
      <c r="G319" s="1" t="s">
        <v>49</v>
      </c>
      <c r="H319">
        <v>1948</v>
      </c>
      <c r="I319" s="1" t="s">
        <v>6</v>
      </c>
      <c r="J319" s="1" t="s">
        <v>13</v>
      </c>
      <c r="K319" s="1" t="s">
        <v>51</v>
      </c>
    </row>
    <row r="320" spans="1:12" x14ac:dyDescent="0.35">
      <c r="A320" t="s">
        <v>303</v>
      </c>
      <c r="B320" s="1" t="s">
        <v>304</v>
      </c>
      <c r="C320" t="str">
        <f>"2021/07/16"</f>
        <v>2021/07/16</v>
      </c>
      <c r="D320" s="4">
        <f t="shared" si="16"/>
        <v>44393</v>
      </c>
      <c r="E320" s="4">
        <f t="shared" si="17"/>
        <v>72686</v>
      </c>
      <c r="F320" t="str">
        <f>"2099/01/01"</f>
        <v>2099/01/01</v>
      </c>
      <c r="G320" s="1" t="s">
        <v>61</v>
      </c>
      <c r="H320">
        <v>1989</v>
      </c>
      <c r="I320" s="1" t="s">
        <v>31</v>
      </c>
      <c r="J320" s="1" t="s">
        <v>75</v>
      </c>
      <c r="K320" s="1" t="s">
        <v>305</v>
      </c>
    </row>
    <row r="321" spans="1:12" x14ac:dyDescent="0.35">
      <c r="A321" t="s">
        <v>1209</v>
      </c>
      <c r="B321" s="1" t="s">
        <v>1210</v>
      </c>
      <c r="C321" t="str">
        <f>"2021/07/15"</f>
        <v>2021/07/15</v>
      </c>
      <c r="D321" s="4">
        <f t="shared" si="16"/>
        <v>44392</v>
      </c>
      <c r="E321" s="4">
        <f t="shared" si="17"/>
        <v>45382</v>
      </c>
      <c r="F321" t="str">
        <f>"2024/03/31"</f>
        <v>2024/03/31</v>
      </c>
      <c r="G321" s="1" t="s">
        <v>799</v>
      </c>
      <c r="H321">
        <v>1975</v>
      </c>
      <c r="I321" s="1" t="s">
        <v>13</v>
      </c>
      <c r="J321" s="1" t="s">
        <v>22</v>
      </c>
      <c r="K321" s="1" t="s">
        <v>1150</v>
      </c>
    </row>
    <row r="322" spans="1:12" x14ac:dyDescent="0.35">
      <c r="A322" t="s">
        <v>1188</v>
      </c>
      <c r="B322" s="1" t="s">
        <v>1189</v>
      </c>
      <c r="C322" t="str">
        <f>"2021/06/24"</f>
        <v>2021/06/24</v>
      </c>
      <c r="D322" s="4">
        <f t="shared" ref="D322:D385" si="20">DATEVALUE(C322)</f>
        <v>44371</v>
      </c>
      <c r="E322" s="4">
        <f t="shared" ref="E322:E385" si="21">DATEVALUE(F322)</f>
        <v>46752</v>
      </c>
      <c r="F322" t="str">
        <f>"2027/12/31"</f>
        <v>2027/12/31</v>
      </c>
      <c r="G322" s="1" t="s">
        <v>87</v>
      </c>
      <c r="H322">
        <v>1931</v>
      </c>
      <c r="I322" s="1" t="s">
        <v>13</v>
      </c>
      <c r="J322" s="1" t="s">
        <v>117</v>
      </c>
      <c r="K322" s="1" t="s">
        <v>1190</v>
      </c>
    </row>
    <row r="323" spans="1:12" ht="29" x14ac:dyDescent="0.35">
      <c r="A323" s="5" t="s">
        <v>1144</v>
      </c>
      <c r="B323" s="6" t="s">
        <v>1145</v>
      </c>
      <c r="C323" s="5" t="str">
        <f>"2021/06/21"</f>
        <v>2021/06/21</v>
      </c>
      <c r="D323" s="7">
        <f t="shared" si="20"/>
        <v>44368</v>
      </c>
      <c r="E323" s="7">
        <f t="shared" si="21"/>
        <v>45017</v>
      </c>
      <c r="F323" s="5" t="str">
        <f>"2023/04/01"</f>
        <v>2023/04/01</v>
      </c>
      <c r="G323" s="6" t="s">
        <v>27</v>
      </c>
      <c r="H323" s="5">
        <v>1987</v>
      </c>
      <c r="I323" s="6" t="s">
        <v>31</v>
      </c>
      <c r="J323" s="6" t="s">
        <v>18</v>
      </c>
      <c r="K323" s="6" t="s">
        <v>1146</v>
      </c>
      <c r="L323" s="6"/>
    </row>
    <row r="324" spans="1:12" ht="29" x14ac:dyDescent="0.35">
      <c r="A324" t="s">
        <v>618</v>
      </c>
      <c r="B324" s="1" t="s">
        <v>619</v>
      </c>
      <c r="C324" t="str">
        <f>"2021/06/21"</f>
        <v>2021/06/21</v>
      </c>
      <c r="D324" s="4">
        <f t="shared" si="20"/>
        <v>44368</v>
      </c>
      <c r="E324" s="4">
        <f t="shared" si="21"/>
        <v>45383</v>
      </c>
      <c r="F324" t="str">
        <f>"2024/04/01"</f>
        <v>2024/04/01</v>
      </c>
      <c r="G324" s="1" t="s">
        <v>11</v>
      </c>
      <c r="H324">
        <v>1976</v>
      </c>
      <c r="I324" s="1" t="s">
        <v>13</v>
      </c>
      <c r="K324" s="1" t="s">
        <v>55</v>
      </c>
    </row>
    <row r="325" spans="1:12" x14ac:dyDescent="0.35">
      <c r="A325" t="s">
        <v>850</v>
      </c>
      <c r="B325" s="1" t="s">
        <v>851</v>
      </c>
      <c r="C325" t="str">
        <f>"2021/06/21"</f>
        <v>2021/06/21</v>
      </c>
      <c r="D325" s="4">
        <f t="shared" si="20"/>
        <v>44368</v>
      </c>
      <c r="E325" s="4">
        <f t="shared" si="21"/>
        <v>45444</v>
      </c>
      <c r="F325" t="str">
        <f>"2024/06/01"</f>
        <v>2024/06/01</v>
      </c>
      <c r="G325" s="1" t="s">
        <v>98</v>
      </c>
      <c r="H325">
        <v>2017</v>
      </c>
      <c r="I325" s="1" t="s">
        <v>13</v>
      </c>
      <c r="K325" s="1" t="s">
        <v>852</v>
      </c>
    </row>
    <row r="326" spans="1:12" x14ac:dyDescent="0.35">
      <c r="A326" t="s">
        <v>735</v>
      </c>
      <c r="B326" s="1" t="s">
        <v>736</v>
      </c>
      <c r="C326" t="str">
        <f>"2021/06/14"</f>
        <v>2021/06/14</v>
      </c>
      <c r="D326" s="4">
        <f t="shared" si="20"/>
        <v>44361</v>
      </c>
      <c r="E326" s="4">
        <f t="shared" si="21"/>
        <v>45444</v>
      </c>
      <c r="F326" t="str">
        <f>"2024/06/01"</f>
        <v>2024/06/01</v>
      </c>
      <c r="G326" s="1" t="s">
        <v>188</v>
      </c>
      <c r="H326">
        <v>2017</v>
      </c>
      <c r="I326" s="1" t="s">
        <v>13</v>
      </c>
      <c r="K326" s="1" t="s">
        <v>506</v>
      </c>
    </row>
    <row r="327" spans="1:12" x14ac:dyDescent="0.35">
      <c r="A327" t="s">
        <v>952</v>
      </c>
      <c r="B327" s="1" t="s">
        <v>953</v>
      </c>
      <c r="C327" t="str">
        <f>"2021/06/10"</f>
        <v>2021/06/10</v>
      </c>
      <c r="D327" s="4">
        <f t="shared" si="20"/>
        <v>44357</v>
      </c>
      <c r="E327" s="4">
        <f t="shared" si="21"/>
        <v>46530</v>
      </c>
      <c r="F327" t="str">
        <f>"2027/05/23"</f>
        <v>2027/05/23</v>
      </c>
      <c r="G327" s="1" t="s">
        <v>5</v>
      </c>
      <c r="H327">
        <v>2018</v>
      </c>
      <c r="I327" s="1" t="s">
        <v>31</v>
      </c>
      <c r="K327" s="1" t="s">
        <v>954</v>
      </c>
    </row>
    <row r="328" spans="1:12" x14ac:dyDescent="0.35">
      <c r="A328" s="5" t="s">
        <v>25</v>
      </c>
      <c r="B328" s="6" t="s">
        <v>26</v>
      </c>
      <c r="C328" s="5" t="str">
        <f t="shared" ref="C328:C345" si="22">"2021/06/07"</f>
        <v>2021/06/07</v>
      </c>
      <c r="D328" s="7">
        <f t="shared" si="20"/>
        <v>44354</v>
      </c>
      <c r="E328" s="7">
        <f t="shared" si="21"/>
        <v>45172</v>
      </c>
      <c r="F328" s="5" t="str">
        <f t="shared" ref="F328:F341" si="23">"2023/09/03"</f>
        <v>2023/09/03</v>
      </c>
      <c r="G328" s="6" t="s">
        <v>27</v>
      </c>
      <c r="H328" s="5">
        <v>1949</v>
      </c>
      <c r="I328" s="6" t="s">
        <v>6</v>
      </c>
      <c r="J328" s="6" t="s">
        <v>13</v>
      </c>
      <c r="K328" s="6" t="s">
        <v>28</v>
      </c>
      <c r="L328" s="6"/>
    </row>
    <row r="329" spans="1:12" x14ac:dyDescent="0.35">
      <c r="A329" s="5" t="s">
        <v>71</v>
      </c>
      <c r="B329" s="6" t="s">
        <v>72</v>
      </c>
      <c r="C329" s="5" t="str">
        <f t="shared" si="22"/>
        <v>2021/06/07</v>
      </c>
      <c r="D329" s="7">
        <f t="shared" si="20"/>
        <v>44354</v>
      </c>
      <c r="E329" s="7">
        <f t="shared" si="21"/>
        <v>45172</v>
      </c>
      <c r="F329" s="5" t="str">
        <f t="shared" si="23"/>
        <v>2023/09/03</v>
      </c>
      <c r="G329" s="6" t="s">
        <v>27</v>
      </c>
      <c r="H329" s="5">
        <v>1953</v>
      </c>
      <c r="I329" s="6" t="s">
        <v>6</v>
      </c>
      <c r="J329" s="6" t="s">
        <v>13</v>
      </c>
      <c r="K329" s="6" t="s">
        <v>28</v>
      </c>
      <c r="L329" s="6"/>
    </row>
    <row r="330" spans="1:12" x14ac:dyDescent="0.35">
      <c r="A330" s="5" t="s">
        <v>659</v>
      </c>
      <c r="B330" s="6" t="s">
        <v>660</v>
      </c>
      <c r="C330" s="5" t="str">
        <f t="shared" si="22"/>
        <v>2021/06/07</v>
      </c>
      <c r="D330" s="7">
        <f t="shared" si="20"/>
        <v>44354</v>
      </c>
      <c r="E330" s="7">
        <f t="shared" si="21"/>
        <v>45172</v>
      </c>
      <c r="F330" s="5" t="str">
        <f t="shared" si="23"/>
        <v>2023/09/03</v>
      </c>
      <c r="G330" s="6" t="s">
        <v>27</v>
      </c>
      <c r="H330" s="5">
        <v>1960</v>
      </c>
      <c r="I330" s="6" t="s">
        <v>6</v>
      </c>
      <c r="J330" s="6" t="s">
        <v>13</v>
      </c>
      <c r="K330" s="6" t="s">
        <v>28</v>
      </c>
      <c r="L330" s="6"/>
    </row>
    <row r="331" spans="1:12" x14ac:dyDescent="0.35">
      <c r="A331" s="5" t="s">
        <v>661</v>
      </c>
      <c r="B331" s="6" t="s">
        <v>662</v>
      </c>
      <c r="C331" s="5" t="str">
        <f t="shared" si="22"/>
        <v>2021/06/07</v>
      </c>
      <c r="D331" s="7">
        <f t="shared" si="20"/>
        <v>44354</v>
      </c>
      <c r="E331" s="7">
        <f t="shared" si="21"/>
        <v>45172</v>
      </c>
      <c r="F331" s="5" t="str">
        <f t="shared" si="23"/>
        <v>2023/09/03</v>
      </c>
      <c r="G331" s="6" t="s">
        <v>27</v>
      </c>
      <c r="H331" s="5">
        <v>1959</v>
      </c>
      <c r="I331" s="6" t="s">
        <v>12</v>
      </c>
      <c r="J331" s="6"/>
      <c r="K331" s="6" t="s">
        <v>28</v>
      </c>
      <c r="L331" s="6"/>
    </row>
    <row r="332" spans="1:12" x14ac:dyDescent="0.35">
      <c r="A332" s="5" t="s">
        <v>663</v>
      </c>
      <c r="B332" s="6" t="s">
        <v>664</v>
      </c>
      <c r="C332" s="5" t="str">
        <f t="shared" si="22"/>
        <v>2021/06/07</v>
      </c>
      <c r="D332" s="7">
        <f t="shared" si="20"/>
        <v>44354</v>
      </c>
      <c r="E332" s="7">
        <f t="shared" si="21"/>
        <v>45172</v>
      </c>
      <c r="F332" s="5" t="str">
        <f t="shared" si="23"/>
        <v>2023/09/03</v>
      </c>
      <c r="G332" s="6" t="s">
        <v>27</v>
      </c>
      <c r="H332" s="5">
        <v>1951</v>
      </c>
      <c r="I332" s="6" t="s">
        <v>13</v>
      </c>
      <c r="J332" s="6"/>
      <c r="K332" s="6" t="s">
        <v>28</v>
      </c>
      <c r="L332" s="6"/>
    </row>
    <row r="333" spans="1:12" x14ac:dyDescent="0.35">
      <c r="A333" s="5" t="s">
        <v>665</v>
      </c>
      <c r="B333" s="6" t="s">
        <v>666</v>
      </c>
      <c r="C333" s="5" t="str">
        <f t="shared" si="22"/>
        <v>2021/06/07</v>
      </c>
      <c r="D333" s="7">
        <f t="shared" si="20"/>
        <v>44354</v>
      </c>
      <c r="E333" s="7">
        <f t="shared" si="21"/>
        <v>45172</v>
      </c>
      <c r="F333" s="5" t="str">
        <f t="shared" si="23"/>
        <v>2023/09/03</v>
      </c>
      <c r="G333" s="6" t="s">
        <v>27</v>
      </c>
      <c r="H333" s="5">
        <v>1962</v>
      </c>
      <c r="I333" s="6" t="s">
        <v>6</v>
      </c>
      <c r="J333" s="6" t="s">
        <v>13</v>
      </c>
      <c r="K333" s="6" t="s">
        <v>28</v>
      </c>
      <c r="L333" s="6"/>
    </row>
    <row r="334" spans="1:12" x14ac:dyDescent="0.35">
      <c r="A334" s="5" t="s">
        <v>667</v>
      </c>
      <c r="B334" s="6" t="s">
        <v>668</v>
      </c>
      <c r="C334" s="5" t="str">
        <f t="shared" si="22"/>
        <v>2021/06/07</v>
      </c>
      <c r="D334" s="7">
        <f t="shared" si="20"/>
        <v>44354</v>
      </c>
      <c r="E334" s="7">
        <f t="shared" si="21"/>
        <v>45172</v>
      </c>
      <c r="F334" s="5" t="str">
        <f t="shared" si="23"/>
        <v>2023/09/03</v>
      </c>
      <c r="G334" s="6" t="s">
        <v>27</v>
      </c>
      <c r="H334" s="5">
        <v>1932</v>
      </c>
      <c r="I334" s="6" t="s">
        <v>12</v>
      </c>
      <c r="J334" s="6"/>
      <c r="K334" s="6" t="s">
        <v>28</v>
      </c>
      <c r="L334" s="6"/>
    </row>
    <row r="335" spans="1:12" x14ac:dyDescent="0.35">
      <c r="A335" s="5" t="s">
        <v>669</v>
      </c>
      <c r="B335" s="6" t="s">
        <v>670</v>
      </c>
      <c r="C335" s="5" t="str">
        <f t="shared" si="22"/>
        <v>2021/06/07</v>
      </c>
      <c r="D335" s="7">
        <f t="shared" si="20"/>
        <v>44354</v>
      </c>
      <c r="E335" s="7">
        <f t="shared" si="21"/>
        <v>45172</v>
      </c>
      <c r="F335" s="5" t="str">
        <f t="shared" si="23"/>
        <v>2023/09/03</v>
      </c>
      <c r="G335" s="6" t="s">
        <v>27</v>
      </c>
      <c r="H335" s="5">
        <v>1958</v>
      </c>
      <c r="I335" s="6" t="s">
        <v>12</v>
      </c>
      <c r="J335" s="6"/>
      <c r="K335" s="6" t="s">
        <v>28</v>
      </c>
      <c r="L335" s="6"/>
    </row>
    <row r="336" spans="1:12" x14ac:dyDescent="0.35">
      <c r="A336" s="5" t="s">
        <v>671</v>
      </c>
      <c r="B336" s="6" t="s">
        <v>672</v>
      </c>
      <c r="C336" s="5" t="str">
        <f t="shared" si="22"/>
        <v>2021/06/07</v>
      </c>
      <c r="D336" s="7">
        <f t="shared" si="20"/>
        <v>44354</v>
      </c>
      <c r="E336" s="7">
        <f t="shared" si="21"/>
        <v>45172</v>
      </c>
      <c r="F336" s="5" t="str">
        <f t="shared" si="23"/>
        <v>2023/09/03</v>
      </c>
      <c r="G336" s="6" t="s">
        <v>27</v>
      </c>
      <c r="H336" s="5">
        <v>1948</v>
      </c>
      <c r="I336" s="6" t="s">
        <v>6</v>
      </c>
      <c r="J336" s="6" t="s">
        <v>13</v>
      </c>
      <c r="K336" s="6" t="s">
        <v>28</v>
      </c>
      <c r="L336" s="6"/>
    </row>
    <row r="337" spans="1:12" x14ac:dyDescent="0.35">
      <c r="A337" s="5" t="s">
        <v>673</v>
      </c>
      <c r="B337" s="6" t="s">
        <v>674</v>
      </c>
      <c r="C337" s="5" t="str">
        <f t="shared" si="22"/>
        <v>2021/06/07</v>
      </c>
      <c r="D337" s="7">
        <f t="shared" si="20"/>
        <v>44354</v>
      </c>
      <c r="E337" s="7">
        <f t="shared" si="21"/>
        <v>45172</v>
      </c>
      <c r="F337" s="5" t="str">
        <f t="shared" si="23"/>
        <v>2023/09/03</v>
      </c>
      <c r="G337" s="6" t="s">
        <v>27</v>
      </c>
      <c r="H337" s="5">
        <v>1933</v>
      </c>
      <c r="I337" s="6" t="s">
        <v>6</v>
      </c>
      <c r="J337" s="6" t="s">
        <v>13</v>
      </c>
      <c r="K337" s="6" t="s">
        <v>28</v>
      </c>
      <c r="L337" s="6"/>
    </row>
    <row r="338" spans="1:12" x14ac:dyDescent="0.35">
      <c r="A338" s="5" t="s">
        <v>675</v>
      </c>
      <c r="B338" s="6" t="s">
        <v>676</v>
      </c>
      <c r="C338" s="5" t="str">
        <f t="shared" si="22"/>
        <v>2021/06/07</v>
      </c>
      <c r="D338" s="7">
        <f t="shared" si="20"/>
        <v>44354</v>
      </c>
      <c r="E338" s="7">
        <f t="shared" si="21"/>
        <v>45172</v>
      </c>
      <c r="F338" s="5" t="str">
        <f t="shared" si="23"/>
        <v>2023/09/03</v>
      </c>
      <c r="G338" s="6" t="s">
        <v>27</v>
      </c>
      <c r="H338" s="5">
        <v>1956</v>
      </c>
      <c r="I338" s="6" t="s">
        <v>6</v>
      </c>
      <c r="J338" s="6" t="s">
        <v>13</v>
      </c>
      <c r="K338" s="6" t="s">
        <v>28</v>
      </c>
      <c r="L338" s="6"/>
    </row>
    <row r="339" spans="1:12" x14ac:dyDescent="0.35">
      <c r="A339" s="5" t="s">
        <v>677</v>
      </c>
      <c r="B339" s="6" t="s">
        <v>678</v>
      </c>
      <c r="C339" s="5" t="str">
        <f t="shared" si="22"/>
        <v>2021/06/07</v>
      </c>
      <c r="D339" s="7">
        <f t="shared" si="20"/>
        <v>44354</v>
      </c>
      <c r="E339" s="7">
        <f t="shared" si="21"/>
        <v>45172</v>
      </c>
      <c r="F339" s="5" t="str">
        <f t="shared" si="23"/>
        <v>2023/09/03</v>
      </c>
      <c r="G339" s="6" t="s">
        <v>27</v>
      </c>
      <c r="H339" s="5">
        <v>1933</v>
      </c>
      <c r="I339" s="6" t="s">
        <v>6</v>
      </c>
      <c r="J339" s="6" t="s">
        <v>124</v>
      </c>
      <c r="K339" s="6" t="s">
        <v>28</v>
      </c>
      <c r="L339" s="6"/>
    </row>
    <row r="340" spans="1:12" x14ac:dyDescent="0.35">
      <c r="A340" s="5" t="s">
        <v>679</v>
      </c>
      <c r="B340" s="6" t="s">
        <v>680</v>
      </c>
      <c r="C340" s="5" t="str">
        <f t="shared" si="22"/>
        <v>2021/06/07</v>
      </c>
      <c r="D340" s="7">
        <f t="shared" si="20"/>
        <v>44354</v>
      </c>
      <c r="E340" s="7">
        <f t="shared" si="21"/>
        <v>45172</v>
      </c>
      <c r="F340" s="5" t="str">
        <f t="shared" si="23"/>
        <v>2023/09/03</v>
      </c>
      <c r="G340" s="6" t="s">
        <v>27</v>
      </c>
      <c r="H340" s="5">
        <v>1930</v>
      </c>
      <c r="I340" s="6" t="s">
        <v>6</v>
      </c>
      <c r="J340" s="6" t="s">
        <v>12</v>
      </c>
      <c r="K340" s="6" t="s">
        <v>28</v>
      </c>
      <c r="L340" s="6"/>
    </row>
    <row r="341" spans="1:12" ht="29" x14ac:dyDescent="0.35">
      <c r="A341" s="5" t="s">
        <v>1033</v>
      </c>
      <c r="B341" s="6" t="s">
        <v>1034</v>
      </c>
      <c r="C341" s="5" t="str">
        <f t="shared" si="22"/>
        <v>2021/06/07</v>
      </c>
      <c r="D341" s="7">
        <f t="shared" si="20"/>
        <v>44354</v>
      </c>
      <c r="E341" s="7">
        <f t="shared" si="21"/>
        <v>45172</v>
      </c>
      <c r="F341" s="5" t="str">
        <f t="shared" si="23"/>
        <v>2023/09/03</v>
      </c>
      <c r="G341" s="6" t="s">
        <v>27</v>
      </c>
      <c r="H341" s="5">
        <v>1932</v>
      </c>
      <c r="I341" s="6" t="s">
        <v>6</v>
      </c>
      <c r="J341" s="6" t="s">
        <v>13</v>
      </c>
      <c r="K341" s="6" t="s">
        <v>28</v>
      </c>
      <c r="L341" s="6"/>
    </row>
    <row r="342" spans="1:12" x14ac:dyDescent="0.35">
      <c r="A342" t="s">
        <v>732</v>
      </c>
      <c r="B342" s="1" t="s">
        <v>733</v>
      </c>
      <c r="C342" t="str">
        <f t="shared" si="22"/>
        <v>2021/06/07</v>
      </c>
      <c r="D342" s="4">
        <f t="shared" si="20"/>
        <v>44354</v>
      </c>
      <c r="E342" s="4">
        <f t="shared" si="21"/>
        <v>45444</v>
      </c>
      <c r="F342" t="str">
        <f>"2024/06/01"</f>
        <v>2024/06/01</v>
      </c>
      <c r="G342" s="1" t="s">
        <v>87</v>
      </c>
      <c r="H342">
        <v>2017</v>
      </c>
      <c r="I342" s="1" t="s">
        <v>13</v>
      </c>
      <c r="K342" s="1" t="s">
        <v>734</v>
      </c>
    </row>
    <row r="343" spans="1:12" x14ac:dyDescent="0.35">
      <c r="A343" t="s">
        <v>1035</v>
      </c>
      <c r="B343" s="1" t="s">
        <v>1036</v>
      </c>
      <c r="C343" t="str">
        <f t="shared" si="22"/>
        <v>2021/06/07</v>
      </c>
      <c r="D343" s="4">
        <f t="shared" si="20"/>
        <v>44354</v>
      </c>
      <c r="E343" s="4">
        <f t="shared" si="21"/>
        <v>45808</v>
      </c>
      <c r="F343" t="str">
        <f>"2025/05/31"</f>
        <v>2025/05/31</v>
      </c>
      <c r="G343" s="1" t="s">
        <v>27</v>
      </c>
      <c r="H343">
        <v>1990</v>
      </c>
      <c r="I343" s="1" t="s">
        <v>12</v>
      </c>
      <c r="J343" s="1" t="s">
        <v>124</v>
      </c>
      <c r="K343" s="1" t="s">
        <v>853</v>
      </c>
    </row>
    <row r="344" spans="1:12" x14ac:dyDescent="0.35">
      <c r="A344" t="s">
        <v>1037</v>
      </c>
      <c r="B344" s="1" t="s">
        <v>1038</v>
      </c>
      <c r="C344" t="str">
        <f t="shared" si="22"/>
        <v>2021/06/07</v>
      </c>
      <c r="D344" s="4">
        <f t="shared" si="20"/>
        <v>44354</v>
      </c>
      <c r="E344" s="4">
        <f t="shared" si="21"/>
        <v>45808</v>
      </c>
      <c r="F344" t="str">
        <f>"2025/05/31"</f>
        <v>2025/05/31</v>
      </c>
      <c r="G344" s="1" t="s">
        <v>27</v>
      </c>
      <c r="H344">
        <v>1989</v>
      </c>
      <c r="I344" s="1" t="s">
        <v>124</v>
      </c>
      <c r="J344" s="1" t="s">
        <v>50</v>
      </c>
      <c r="K344" s="1" t="s">
        <v>853</v>
      </c>
    </row>
    <row r="345" spans="1:12" x14ac:dyDescent="0.35">
      <c r="A345" t="s">
        <v>1039</v>
      </c>
      <c r="B345" s="1" t="s">
        <v>1040</v>
      </c>
      <c r="C345" t="str">
        <f t="shared" si="22"/>
        <v>2021/06/07</v>
      </c>
      <c r="D345" s="4">
        <f t="shared" si="20"/>
        <v>44354</v>
      </c>
      <c r="E345" s="4">
        <f t="shared" si="21"/>
        <v>45808</v>
      </c>
      <c r="F345" t="str">
        <f>"2025/05/31"</f>
        <v>2025/05/31</v>
      </c>
      <c r="G345" s="1" t="s">
        <v>27</v>
      </c>
      <c r="H345">
        <v>1993</v>
      </c>
      <c r="I345" s="1" t="s">
        <v>41</v>
      </c>
      <c r="J345" s="1" t="s">
        <v>124</v>
      </c>
      <c r="K345" s="1" t="s">
        <v>853</v>
      </c>
    </row>
    <row r="346" spans="1:12" x14ac:dyDescent="0.35">
      <c r="A346" s="5" t="s">
        <v>399</v>
      </c>
      <c r="B346" s="6" t="s">
        <v>400</v>
      </c>
      <c r="C346" s="5" t="str">
        <f t="shared" ref="C346:C354" si="24">"2021/06/01"</f>
        <v>2021/06/01</v>
      </c>
      <c r="D346" s="7">
        <f t="shared" si="20"/>
        <v>44348</v>
      </c>
      <c r="E346" s="7">
        <f t="shared" si="21"/>
        <v>45107</v>
      </c>
      <c r="F346" s="5" t="str">
        <f>"2023/06/30"</f>
        <v>2023/06/30</v>
      </c>
      <c r="G346" s="6" t="s">
        <v>5</v>
      </c>
      <c r="H346" s="5">
        <v>1974</v>
      </c>
      <c r="I346" s="6" t="s">
        <v>12</v>
      </c>
      <c r="J346" s="6" t="s">
        <v>13</v>
      </c>
      <c r="K346" s="6" t="s">
        <v>401</v>
      </c>
      <c r="L346" s="6"/>
    </row>
    <row r="347" spans="1:12" x14ac:dyDescent="0.35">
      <c r="A347" s="5" t="s">
        <v>439</v>
      </c>
      <c r="B347" s="6" t="s">
        <v>440</v>
      </c>
      <c r="C347" s="5" t="str">
        <f t="shared" si="24"/>
        <v>2021/06/01</v>
      </c>
      <c r="D347" s="7">
        <f t="shared" si="20"/>
        <v>44348</v>
      </c>
      <c r="E347" s="7">
        <f t="shared" si="21"/>
        <v>45107</v>
      </c>
      <c r="F347" s="5" t="str">
        <f>"2023/06/30"</f>
        <v>2023/06/30</v>
      </c>
      <c r="G347" s="6" t="s">
        <v>441</v>
      </c>
      <c r="H347" s="5">
        <v>1969</v>
      </c>
      <c r="I347" s="6" t="s">
        <v>13</v>
      </c>
      <c r="J347" s="6"/>
      <c r="K347" s="6" t="s">
        <v>442</v>
      </c>
      <c r="L347" s="6"/>
    </row>
    <row r="348" spans="1:12" x14ac:dyDescent="0.35">
      <c r="A348" s="5" t="s">
        <v>448</v>
      </c>
      <c r="B348" s="6" t="s">
        <v>449</v>
      </c>
      <c r="C348" s="5" t="str">
        <f t="shared" si="24"/>
        <v>2021/06/01</v>
      </c>
      <c r="D348" s="7">
        <f t="shared" si="20"/>
        <v>44348</v>
      </c>
      <c r="E348" s="7">
        <f t="shared" si="21"/>
        <v>45107</v>
      </c>
      <c r="F348" s="5" t="str">
        <f>"2023/06/30"</f>
        <v>2023/06/30</v>
      </c>
      <c r="G348" s="6" t="s">
        <v>5</v>
      </c>
      <c r="H348" s="5">
        <v>1976</v>
      </c>
      <c r="I348" s="6" t="s">
        <v>13</v>
      </c>
      <c r="J348" s="6"/>
      <c r="K348" s="6" t="s">
        <v>442</v>
      </c>
      <c r="L348" s="6"/>
    </row>
    <row r="349" spans="1:12" x14ac:dyDescent="0.35">
      <c r="A349" t="s">
        <v>486</v>
      </c>
      <c r="B349" s="1" t="s">
        <v>487</v>
      </c>
      <c r="C349" t="str">
        <f t="shared" si="24"/>
        <v>2021/06/01</v>
      </c>
      <c r="D349" s="4">
        <f t="shared" si="20"/>
        <v>44348</v>
      </c>
      <c r="E349" s="4">
        <f t="shared" si="21"/>
        <v>45657</v>
      </c>
      <c r="F349" t="str">
        <f>"2024/12/31"</f>
        <v>2024/12/31</v>
      </c>
      <c r="G349" s="1" t="s">
        <v>5</v>
      </c>
      <c r="H349">
        <v>1972</v>
      </c>
      <c r="I349" s="1" t="s">
        <v>83</v>
      </c>
      <c r="J349" s="1" t="s">
        <v>13</v>
      </c>
      <c r="K349" s="1" t="s">
        <v>442</v>
      </c>
    </row>
    <row r="350" spans="1:12" x14ac:dyDescent="0.35">
      <c r="A350" t="s">
        <v>63</v>
      </c>
      <c r="B350" s="1" t="s">
        <v>64</v>
      </c>
      <c r="C350" t="str">
        <f t="shared" si="24"/>
        <v>2021/06/01</v>
      </c>
      <c r="D350" s="4">
        <f t="shared" si="20"/>
        <v>44348</v>
      </c>
      <c r="E350" s="4">
        <f t="shared" si="21"/>
        <v>46752</v>
      </c>
      <c r="F350" t="str">
        <f>"2027/12/31"</f>
        <v>2027/12/31</v>
      </c>
      <c r="G350" s="1" t="s">
        <v>45</v>
      </c>
      <c r="H350">
        <v>1954</v>
      </c>
      <c r="I350" s="1" t="s">
        <v>6</v>
      </c>
      <c r="J350" s="1" t="s">
        <v>13</v>
      </c>
      <c r="K350" s="1" t="s">
        <v>65</v>
      </c>
    </row>
    <row r="351" spans="1:12" x14ac:dyDescent="0.35">
      <c r="A351" t="s">
        <v>521</v>
      </c>
      <c r="B351" s="1" t="s">
        <v>522</v>
      </c>
      <c r="C351" t="str">
        <f t="shared" si="24"/>
        <v>2021/06/01</v>
      </c>
      <c r="D351" s="4">
        <f t="shared" si="20"/>
        <v>44348</v>
      </c>
      <c r="E351" s="4">
        <f t="shared" si="21"/>
        <v>46752</v>
      </c>
      <c r="F351" t="str">
        <f>"2027/12/31"</f>
        <v>2027/12/31</v>
      </c>
      <c r="G351" s="1" t="s">
        <v>45</v>
      </c>
      <c r="H351">
        <v>1948</v>
      </c>
      <c r="I351" s="1" t="s">
        <v>6</v>
      </c>
      <c r="J351" s="1" t="s">
        <v>13</v>
      </c>
      <c r="K351" s="1" t="s">
        <v>65</v>
      </c>
    </row>
    <row r="352" spans="1:12" x14ac:dyDescent="0.35">
      <c r="A352" t="s">
        <v>523</v>
      </c>
      <c r="B352" s="1" t="s">
        <v>524</v>
      </c>
      <c r="C352" t="str">
        <f t="shared" si="24"/>
        <v>2021/06/01</v>
      </c>
      <c r="D352" s="4">
        <f t="shared" si="20"/>
        <v>44348</v>
      </c>
      <c r="E352" s="4">
        <f t="shared" si="21"/>
        <v>46752</v>
      </c>
      <c r="F352" t="str">
        <f>"2027/12/31"</f>
        <v>2027/12/31</v>
      </c>
      <c r="G352" s="1" t="s">
        <v>45</v>
      </c>
      <c r="H352">
        <v>1950</v>
      </c>
      <c r="I352" s="1" t="s">
        <v>13</v>
      </c>
      <c r="K352" s="1" t="s">
        <v>65</v>
      </c>
    </row>
    <row r="353" spans="1:12" x14ac:dyDescent="0.35">
      <c r="A353" t="s">
        <v>525</v>
      </c>
      <c r="B353" s="1" t="s">
        <v>526</v>
      </c>
      <c r="C353" t="str">
        <f t="shared" si="24"/>
        <v>2021/06/01</v>
      </c>
      <c r="D353" s="4">
        <f t="shared" si="20"/>
        <v>44348</v>
      </c>
      <c r="E353" s="4">
        <f t="shared" si="21"/>
        <v>46752</v>
      </c>
      <c r="F353" t="str">
        <f>"2027/12/31"</f>
        <v>2027/12/31</v>
      </c>
      <c r="G353" s="1" t="s">
        <v>45</v>
      </c>
      <c r="H353">
        <v>1945</v>
      </c>
      <c r="I353" s="1" t="s">
        <v>6</v>
      </c>
      <c r="J353" s="1" t="s">
        <v>13</v>
      </c>
      <c r="K353" s="1" t="s">
        <v>65</v>
      </c>
    </row>
    <row r="354" spans="1:12" x14ac:dyDescent="0.35">
      <c r="A354" t="s">
        <v>527</v>
      </c>
      <c r="B354" s="1" t="s">
        <v>528</v>
      </c>
      <c r="C354" t="str">
        <f t="shared" si="24"/>
        <v>2021/06/01</v>
      </c>
      <c r="D354" s="4">
        <f t="shared" si="20"/>
        <v>44348</v>
      </c>
      <c r="E354" s="4">
        <f t="shared" si="21"/>
        <v>46752</v>
      </c>
      <c r="F354" t="str">
        <f>"2027/12/31"</f>
        <v>2027/12/31</v>
      </c>
      <c r="G354" s="1" t="s">
        <v>45</v>
      </c>
      <c r="H354">
        <v>1946</v>
      </c>
      <c r="I354" s="1" t="s">
        <v>6</v>
      </c>
      <c r="J354" s="1" t="s">
        <v>13</v>
      </c>
      <c r="K354" s="1" t="s">
        <v>65</v>
      </c>
    </row>
    <row r="355" spans="1:12" x14ac:dyDescent="0.35">
      <c r="A355" s="5" t="s">
        <v>967</v>
      </c>
      <c r="B355" s="6" t="s">
        <v>968</v>
      </c>
      <c r="C355" s="5" t="str">
        <f>"2021/05/28"</f>
        <v>2021/05/28</v>
      </c>
      <c r="D355" s="7">
        <f t="shared" si="20"/>
        <v>44344</v>
      </c>
      <c r="E355" s="7">
        <f t="shared" si="21"/>
        <v>45199</v>
      </c>
      <c r="F355" s="5" t="str">
        <f>"2023/09/30"</f>
        <v>2023/09/30</v>
      </c>
      <c r="G355" s="6" t="s">
        <v>289</v>
      </c>
      <c r="H355" s="5">
        <v>1969</v>
      </c>
      <c r="I355" s="6" t="s">
        <v>13</v>
      </c>
      <c r="J355" s="6" t="s">
        <v>50</v>
      </c>
      <c r="K355" s="6" t="s">
        <v>969</v>
      </c>
      <c r="L355" s="6"/>
    </row>
    <row r="356" spans="1:12" x14ac:dyDescent="0.35">
      <c r="A356" t="s">
        <v>369</v>
      </c>
      <c r="B356" s="1" t="s">
        <v>370</v>
      </c>
      <c r="C356" t="str">
        <f>"2021/05/17"</f>
        <v>2021/05/17</v>
      </c>
      <c r="D356" s="4">
        <f t="shared" si="20"/>
        <v>44333</v>
      </c>
      <c r="E356" s="4">
        <f t="shared" si="21"/>
        <v>45382</v>
      </c>
      <c r="F356" t="str">
        <f>"2024/03/31"</f>
        <v>2024/03/31</v>
      </c>
      <c r="G356" s="1" t="s">
        <v>5</v>
      </c>
      <c r="H356">
        <v>2014</v>
      </c>
      <c r="I356" s="1" t="s">
        <v>13</v>
      </c>
      <c r="J356" s="1" t="s">
        <v>37</v>
      </c>
      <c r="K356" s="1" t="s">
        <v>371</v>
      </c>
    </row>
    <row r="357" spans="1:12" x14ac:dyDescent="0.35">
      <c r="A357" t="s">
        <v>592</v>
      </c>
      <c r="B357" s="1" t="s">
        <v>593</v>
      </c>
      <c r="C357" t="str">
        <f>"2021/05/17"</f>
        <v>2021/05/17</v>
      </c>
      <c r="D357" s="4">
        <f t="shared" si="20"/>
        <v>44333</v>
      </c>
      <c r="E357" s="4">
        <f t="shared" si="21"/>
        <v>45382</v>
      </c>
      <c r="F357" t="str">
        <f>"2024/03/31"</f>
        <v>2024/03/31</v>
      </c>
      <c r="G357" s="1" t="s">
        <v>289</v>
      </c>
      <c r="H357">
        <v>1976</v>
      </c>
      <c r="I357" s="1" t="s">
        <v>8</v>
      </c>
      <c r="K357" s="1" t="s">
        <v>290</v>
      </c>
    </row>
    <row r="358" spans="1:12" x14ac:dyDescent="0.35">
      <c r="A358" t="s">
        <v>467</v>
      </c>
      <c r="B358" s="1" t="s">
        <v>468</v>
      </c>
      <c r="C358" t="str">
        <f>"2021/05/17"</f>
        <v>2021/05/17</v>
      </c>
      <c r="D358" s="4">
        <f t="shared" si="20"/>
        <v>44333</v>
      </c>
      <c r="E358" s="4">
        <f t="shared" si="21"/>
        <v>401707</v>
      </c>
      <c r="F358" t="str">
        <f>"2999/10/31"</f>
        <v>2999/10/31</v>
      </c>
      <c r="G358" s="1" t="s">
        <v>61</v>
      </c>
      <c r="H358">
        <v>1979</v>
      </c>
      <c r="I358" s="1" t="s">
        <v>13</v>
      </c>
      <c r="J358" s="1" t="s">
        <v>37</v>
      </c>
      <c r="K358" s="1" t="s">
        <v>469</v>
      </c>
    </row>
    <row r="359" spans="1:12" x14ac:dyDescent="0.35">
      <c r="A359" s="5" t="s">
        <v>1119</v>
      </c>
      <c r="B359" s="6" t="s">
        <v>1120</v>
      </c>
      <c r="C359" s="5" t="str">
        <f>"2021/05/10"</f>
        <v>2021/05/10</v>
      </c>
      <c r="D359" s="7">
        <f t="shared" si="20"/>
        <v>44326</v>
      </c>
      <c r="E359" s="7">
        <f t="shared" si="21"/>
        <v>45046</v>
      </c>
      <c r="F359" s="5" t="str">
        <f>"2023/04/30"</f>
        <v>2023/04/30</v>
      </c>
      <c r="G359" s="6" t="s">
        <v>61</v>
      </c>
      <c r="H359" s="5">
        <v>2011</v>
      </c>
      <c r="I359" s="6" t="s">
        <v>12</v>
      </c>
      <c r="J359" s="6" t="s">
        <v>13</v>
      </c>
      <c r="K359" s="6" t="s">
        <v>211</v>
      </c>
      <c r="L359" s="6"/>
    </row>
    <row r="360" spans="1:12" x14ac:dyDescent="0.35">
      <c r="A360" t="s">
        <v>209</v>
      </c>
      <c r="B360" s="1" t="s">
        <v>210</v>
      </c>
      <c r="C360" t="str">
        <f>"2021/05/10"</f>
        <v>2021/05/10</v>
      </c>
      <c r="D360" s="4">
        <f t="shared" si="20"/>
        <v>44326</v>
      </c>
      <c r="E360" s="4">
        <f t="shared" si="21"/>
        <v>45413</v>
      </c>
      <c r="F360" t="str">
        <f>"2024/05/01"</f>
        <v>2024/05/01</v>
      </c>
      <c r="G360" s="1" t="s">
        <v>61</v>
      </c>
      <c r="H360">
        <v>2014</v>
      </c>
      <c r="I360" s="1" t="s">
        <v>12</v>
      </c>
      <c r="J360" s="1" t="s">
        <v>13</v>
      </c>
      <c r="K360" s="1" t="s">
        <v>211</v>
      </c>
    </row>
    <row r="361" spans="1:12" ht="29" x14ac:dyDescent="0.35">
      <c r="A361" s="5" t="s">
        <v>1086</v>
      </c>
      <c r="B361" s="6" t="s">
        <v>1087</v>
      </c>
      <c r="C361" s="5" t="str">
        <f>"2021/04/30"</f>
        <v>2021/04/30</v>
      </c>
      <c r="D361" s="7">
        <f t="shared" si="20"/>
        <v>44316</v>
      </c>
      <c r="E361" s="7">
        <f t="shared" si="21"/>
        <v>45046</v>
      </c>
      <c r="F361" s="5" t="str">
        <f>"2023/04/30"</f>
        <v>2023/04/30</v>
      </c>
      <c r="G361" s="6" t="s">
        <v>512</v>
      </c>
      <c r="H361" s="5">
        <v>2020</v>
      </c>
      <c r="I361" s="6" t="s">
        <v>13</v>
      </c>
      <c r="J361" s="6" t="s">
        <v>168</v>
      </c>
      <c r="K361" s="6" t="s">
        <v>1088</v>
      </c>
      <c r="L361" s="6"/>
    </row>
    <row r="362" spans="1:12" x14ac:dyDescent="0.35">
      <c r="A362" t="s">
        <v>1108</v>
      </c>
      <c r="B362" s="1" t="s">
        <v>1109</v>
      </c>
      <c r="C362" t="str">
        <f>"2021/04/19"</f>
        <v>2021/04/19</v>
      </c>
      <c r="D362" s="4">
        <f t="shared" si="20"/>
        <v>44305</v>
      </c>
      <c r="E362" s="4">
        <f t="shared" si="21"/>
        <v>48559</v>
      </c>
      <c r="F362" t="str">
        <f>"2032/12/11"</f>
        <v>2032/12/11</v>
      </c>
      <c r="G362" s="1" t="s">
        <v>61</v>
      </c>
      <c r="H362">
        <v>2019</v>
      </c>
      <c r="I362" s="1" t="s">
        <v>124</v>
      </c>
      <c r="J362" s="1" t="s">
        <v>13</v>
      </c>
      <c r="K362" s="1" t="s">
        <v>1110</v>
      </c>
    </row>
    <row r="363" spans="1:12" x14ac:dyDescent="0.35">
      <c r="A363" t="s">
        <v>1114</v>
      </c>
      <c r="B363" s="1" t="s">
        <v>1115</v>
      </c>
      <c r="C363" t="str">
        <f>"2021/04/16"</f>
        <v>2021/04/16</v>
      </c>
      <c r="D363" s="4">
        <f t="shared" si="20"/>
        <v>44302</v>
      </c>
      <c r="E363" s="4">
        <f t="shared" si="21"/>
        <v>45383</v>
      </c>
      <c r="F363" t="str">
        <f>"2024/04/01"</f>
        <v>2024/04/01</v>
      </c>
      <c r="G363" s="1" t="s">
        <v>49</v>
      </c>
      <c r="H363">
        <v>2014</v>
      </c>
      <c r="I363" s="1" t="s">
        <v>12</v>
      </c>
      <c r="J363" s="1" t="s">
        <v>13</v>
      </c>
      <c r="K363" s="1" t="s">
        <v>1116</v>
      </c>
    </row>
    <row r="364" spans="1:12" x14ac:dyDescent="0.35">
      <c r="A364" s="5" t="s">
        <v>246</v>
      </c>
      <c r="B364" s="6" t="s">
        <v>247</v>
      </c>
      <c r="C364" s="5" t="str">
        <f t="shared" ref="C364:C377" si="25">"2021/04/01"</f>
        <v>2021/04/01</v>
      </c>
      <c r="D364" s="7">
        <f t="shared" si="20"/>
        <v>44287</v>
      </c>
      <c r="E364" s="7">
        <f t="shared" si="21"/>
        <v>45017</v>
      </c>
      <c r="F364" s="5" t="str">
        <f>"2023/04/01"</f>
        <v>2023/04/01</v>
      </c>
      <c r="G364" s="6" t="s">
        <v>36</v>
      </c>
      <c r="H364" s="5">
        <v>2012</v>
      </c>
      <c r="I364" s="6" t="s">
        <v>31</v>
      </c>
      <c r="J364" s="6"/>
      <c r="K364" s="6" t="s">
        <v>248</v>
      </c>
      <c r="L364" s="6"/>
    </row>
    <row r="365" spans="1:12" x14ac:dyDescent="0.35">
      <c r="A365" t="s">
        <v>253</v>
      </c>
      <c r="B365" s="1" t="s">
        <v>254</v>
      </c>
      <c r="C365" t="str">
        <f t="shared" si="25"/>
        <v>2021/04/01</v>
      </c>
      <c r="D365" s="4">
        <f t="shared" si="20"/>
        <v>44287</v>
      </c>
      <c r="E365" s="4">
        <f t="shared" si="21"/>
        <v>45382</v>
      </c>
      <c r="F365" t="str">
        <f>"2024/03/31"</f>
        <v>2024/03/31</v>
      </c>
      <c r="G365" s="1" t="s">
        <v>61</v>
      </c>
      <c r="H365">
        <v>2015</v>
      </c>
      <c r="I365" s="1" t="s">
        <v>124</v>
      </c>
      <c r="K365" s="1" t="s">
        <v>255</v>
      </c>
    </row>
    <row r="366" spans="1:12" x14ac:dyDescent="0.35">
      <c r="A366" t="s">
        <v>556</v>
      </c>
      <c r="B366" s="1" t="s">
        <v>557</v>
      </c>
      <c r="C366" t="str">
        <f t="shared" si="25"/>
        <v>2021/04/01</v>
      </c>
      <c r="D366" s="4">
        <f t="shared" si="20"/>
        <v>44287</v>
      </c>
      <c r="E366" s="4">
        <f t="shared" si="21"/>
        <v>45382</v>
      </c>
      <c r="F366" t="str">
        <f>"2024/03/31"</f>
        <v>2024/03/31</v>
      </c>
      <c r="G366" s="1" t="s">
        <v>5</v>
      </c>
      <c r="H366">
        <v>2015</v>
      </c>
      <c r="I366" s="1" t="s">
        <v>13</v>
      </c>
      <c r="J366" s="1" t="s">
        <v>7</v>
      </c>
      <c r="K366" s="1" t="s">
        <v>558</v>
      </c>
    </row>
    <row r="367" spans="1:12" x14ac:dyDescent="0.35">
      <c r="A367" t="s">
        <v>917</v>
      </c>
      <c r="B367" s="1" t="s">
        <v>918</v>
      </c>
      <c r="C367" t="str">
        <f t="shared" si="25"/>
        <v>2021/04/01</v>
      </c>
      <c r="D367" s="4">
        <f t="shared" si="20"/>
        <v>44287</v>
      </c>
      <c r="E367" s="4">
        <f t="shared" si="21"/>
        <v>45382</v>
      </c>
      <c r="F367" t="str">
        <f>"2024/03/31"</f>
        <v>2024/03/31</v>
      </c>
      <c r="G367" s="1" t="s">
        <v>513</v>
      </c>
      <c r="H367">
        <v>2005</v>
      </c>
      <c r="I367" s="1" t="s">
        <v>124</v>
      </c>
      <c r="J367" s="1" t="s">
        <v>50</v>
      </c>
      <c r="K367" s="1" t="s">
        <v>632</v>
      </c>
    </row>
    <row r="368" spans="1:12" ht="29" x14ac:dyDescent="0.35">
      <c r="A368" t="s">
        <v>53</v>
      </c>
      <c r="B368" s="1" t="s">
        <v>54</v>
      </c>
      <c r="C368" t="str">
        <f t="shared" si="25"/>
        <v>2021/04/01</v>
      </c>
      <c r="D368" s="4">
        <f t="shared" si="20"/>
        <v>44287</v>
      </c>
      <c r="E368" s="4">
        <f t="shared" si="21"/>
        <v>45383</v>
      </c>
      <c r="F368" t="str">
        <f t="shared" ref="F368:F377" si="26">"2024/04/01"</f>
        <v>2024/04/01</v>
      </c>
      <c r="G368" s="1" t="s">
        <v>11</v>
      </c>
      <c r="H368">
        <v>1979</v>
      </c>
      <c r="I368" s="1" t="s">
        <v>8</v>
      </c>
      <c r="K368" s="1" t="s">
        <v>55</v>
      </c>
    </row>
    <row r="369" spans="1:11" ht="29" x14ac:dyDescent="0.35">
      <c r="A369" t="s">
        <v>386</v>
      </c>
      <c r="B369" s="1" t="s">
        <v>387</v>
      </c>
      <c r="C369" t="str">
        <f t="shared" si="25"/>
        <v>2021/04/01</v>
      </c>
      <c r="D369" s="4">
        <f t="shared" si="20"/>
        <v>44287</v>
      </c>
      <c r="E369" s="4">
        <f t="shared" si="21"/>
        <v>45383</v>
      </c>
      <c r="F369" t="str">
        <f t="shared" si="26"/>
        <v>2024/04/01</v>
      </c>
      <c r="G369" s="1" t="s">
        <v>11</v>
      </c>
      <c r="H369">
        <v>1972</v>
      </c>
      <c r="I369" s="1" t="s">
        <v>83</v>
      </c>
      <c r="J369" s="1" t="s">
        <v>6</v>
      </c>
      <c r="K369" s="1" t="s">
        <v>55</v>
      </c>
    </row>
    <row r="370" spans="1:11" ht="29" x14ac:dyDescent="0.35">
      <c r="A370" t="s">
        <v>402</v>
      </c>
      <c r="B370" s="1" t="s">
        <v>403</v>
      </c>
      <c r="C370" t="str">
        <f t="shared" si="25"/>
        <v>2021/04/01</v>
      </c>
      <c r="D370" s="4">
        <f t="shared" si="20"/>
        <v>44287</v>
      </c>
      <c r="E370" s="4">
        <f t="shared" si="21"/>
        <v>45383</v>
      </c>
      <c r="F370" t="str">
        <f t="shared" si="26"/>
        <v>2024/04/01</v>
      </c>
      <c r="G370" s="1" t="s">
        <v>11</v>
      </c>
      <c r="H370">
        <v>1987</v>
      </c>
      <c r="I370" s="1" t="s">
        <v>83</v>
      </c>
      <c r="J370" s="1" t="s">
        <v>13</v>
      </c>
      <c r="K370" s="1" t="s">
        <v>55</v>
      </c>
    </row>
    <row r="371" spans="1:11" ht="29" x14ac:dyDescent="0.35">
      <c r="A371" t="s">
        <v>410</v>
      </c>
      <c r="B371" s="1" t="s">
        <v>411</v>
      </c>
      <c r="C371" t="str">
        <f t="shared" si="25"/>
        <v>2021/04/01</v>
      </c>
      <c r="D371" s="4">
        <f t="shared" si="20"/>
        <v>44287</v>
      </c>
      <c r="E371" s="4">
        <f t="shared" si="21"/>
        <v>45383</v>
      </c>
      <c r="F371" t="str">
        <f t="shared" si="26"/>
        <v>2024/04/01</v>
      </c>
      <c r="G371" s="1" t="s">
        <v>11</v>
      </c>
      <c r="H371">
        <v>1974</v>
      </c>
      <c r="I371" s="1" t="s">
        <v>52</v>
      </c>
      <c r="J371" s="1" t="s">
        <v>13</v>
      </c>
      <c r="K371" s="1" t="s">
        <v>55</v>
      </c>
    </row>
    <row r="372" spans="1:11" ht="29" x14ac:dyDescent="0.35">
      <c r="A372" t="s">
        <v>412</v>
      </c>
      <c r="B372" s="1" t="s">
        <v>413</v>
      </c>
      <c r="C372" t="str">
        <f t="shared" si="25"/>
        <v>2021/04/01</v>
      </c>
      <c r="D372" s="4">
        <f t="shared" si="20"/>
        <v>44287</v>
      </c>
      <c r="E372" s="4">
        <f t="shared" si="21"/>
        <v>45383</v>
      </c>
      <c r="F372" t="str">
        <f t="shared" si="26"/>
        <v>2024/04/01</v>
      </c>
      <c r="G372" s="1" t="s">
        <v>11</v>
      </c>
      <c r="H372">
        <v>1971</v>
      </c>
      <c r="I372" s="1" t="s">
        <v>31</v>
      </c>
      <c r="K372" s="1" t="s">
        <v>55</v>
      </c>
    </row>
    <row r="373" spans="1:11" ht="29" x14ac:dyDescent="0.35">
      <c r="A373" t="s">
        <v>414</v>
      </c>
      <c r="B373" s="1" t="s">
        <v>415</v>
      </c>
      <c r="C373" t="str">
        <f t="shared" si="25"/>
        <v>2021/04/01</v>
      </c>
      <c r="D373" s="4">
        <f t="shared" si="20"/>
        <v>44287</v>
      </c>
      <c r="E373" s="4">
        <f t="shared" si="21"/>
        <v>45383</v>
      </c>
      <c r="F373" t="str">
        <f t="shared" si="26"/>
        <v>2024/04/01</v>
      </c>
      <c r="G373" s="1" t="s">
        <v>11</v>
      </c>
      <c r="H373">
        <v>1981</v>
      </c>
      <c r="I373" s="1" t="s">
        <v>83</v>
      </c>
      <c r="J373" s="1" t="s">
        <v>6</v>
      </c>
      <c r="K373" s="1" t="s">
        <v>55</v>
      </c>
    </row>
    <row r="374" spans="1:11" ht="29" x14ac:dyDescent="0.35">
      <c r="A374" t="s">
        <v>423</v>
      </c>
      <c r="B374" s="1" t="s">
        <v>424</v>
      </c>
      <c r="C374" t="str">
        <f t="shared" si="25"/>
        <v>2021/04/01</v>
      </c>
      <c r="D374" s="4">
        <f t="shared" si="20"/>
        <v>44287</v>
      </c>
      <c r="E374" s="4">
        <f t="shared" si="21"/>
        <v>45383</v>
      </c>
      <c r="F374" t="str">
        <f t="shared" si="26"/>
        <v>2024/04/01</v>
      </c>
      <c r="G374" s="1" t="s">
        <v>11</v>
      </c>
      <c r="H374">
        <v>1975</v>
      </c>
      <c r="I374" s="1" t="s">
        <v>31</v>
      </c>
      <c r="J374" s="1" t="s">
        <v>425</v>
      </c>
      <c r="K374" s="1" t="s">
        <v>55</v>
      </c>
    </row>
    <row r="375" spans="1:11" ht="29" x14ac:dyDescent="0.35">
      <c r="A375" t="s">
        <v>426</v>
      </c>
      <c r="B375" s="1" t="s">
        <v>427</v>
      </c>
      <c r="C375" t="str">
        <f t="shared" si="25"/>
        <v>2021/04/01</v>
      </c>
      <c r="D375" s="4">
        <f t="shared" si="20"/>
        <v>44287</v>
      </c>
      <c r="E375" s="4">
        <f t="shared" si="21"/>
        <v>45383</v>
      </c>
      <c r="F375" t="str">
        <f t="shared" si="26"/>
        <v>2024/04/01</v>
      </c>
      <c r="G375" s="1" t="s">
        <v>11</v>
      </c>
      <c r="H375">
        <v>1971</v>
      </c>
      <c r="I375" s="1" t="s">
        <v>31</v>
      </c>
      <c r="K375" s="1" t="s">
        <v>55</v>
      </c>
    </row>
    <row r="376" spans="1:11" ht="29" x14ac:dyDescent="0.35">
      <c r="A376" t="s">
        <v>480</v>
      </c>
      <c r="B376" s="1" t="s">
        <v>481</v>
      </c>
      <c r="C376" t="str">
        <f t="shared" si="25"/>
        <v>2021/04/01</v>
      </c>
      <c r="D376" s="4">
        <f t="shared" si="20"/>
        <v>44287</v>
      </c>
      <c r="E376" s="4">
        <f t="shared" si="21"/>
        <v>45383</v>
      </c>
      <c r="F376" t="str">
        <f t="shared" si="26"/>
        <v>2024/04/01</v>
      </c>
      <c r="G376" s="1" t="s">
        <v>11</v>
      </c>
      <c r="H376">
        <v>1977</v>
      </c>
      <c r="I376" s="1" t="s">
        <v>13</v>
      </c>
      <c r="K376" s="1" t="s">
        <v>55</v>
      </c>
    </row>
    <row r="377" spans="1:11" ht="29" x14ac:dyDescent="0.35">
      <c r="A377" t="s">
        <v>491</v>
      </c>
      <c r="B377" s="1" t="s">
        <v>492</v>
      </c>
      <c r="C377" t="str">
        <f t="shared" si="25"/>
        <v>2021/04/01</v>
      </c>
      <c r="D377" s="4">
        <f t="shared" si="20"/>
        <v>44287</v>
      </c>
      <c r="E377" s="4">
        <f t="shared" si="21"/>
        <v>45383</v>
      </c>
      <c r="F377" t="str">
        <f t="shared" si="26"/>
        <v>2024/04/01</v>
      </c>
      <c r="G377" s="1" t="s">
        <v>11</v>
      </c>
      <c r="H377">
        <v>1979</v>
      </c>
      <c r="I377" s="1" t="s">
        <v>13</v>
      </c>
      <c r="K377" s="1" t="s">
        <v>55</v>
      </c>
    </row>
    <row r="378" spans="1:11" ht="29" x14ac:dyDescent="0.35">
      <c r="A378" t="s">
        <v>81</v>
      </c>
      <c r="B378" s="1" t="s">
        <v>82</v>
      </c>
      <c r="C378" t="str">
        <f>"2021/03/29"</f>
        <v>2021/03/29</v>
      </c>
      <c r="D378" s="4">
        <f t="shared" si="20"/>
        <v>44284</v>
      </c>
      <c r="E378" s="4">
        <f t="shared" si="21"/>
        <v>47848</v>
      </c>
      <c r="F378" t="str">
        <f>"2030/12/31"</f>
        <v>2030/12/31</v>
      </c>
      <c r="G378" s="1" t="s">
        <v>61</v>
      </c>
      <c r="H378">
        <v>1924</v>
      </c>
      <c r="I378" s="1" t="s">
        <v>83</v>
      </c>
      <c r="J378" s="1" t="s">
        <v>31</v>
      </c>
      <c r="K378" s="1" t="s">
        <v>84</v>
      </c>
    </row>
    <row r="379" spans="1:11" x14ac:dyDescent="0.35">
      <c r="A379" t="s">
        <v>1125</v>
      </c>
      <c r="B379" s="1" t="s">
        <v>1126</v>
      </c>
      <c r="C379" t="str">
        <f>"2021/03/26"</f>
        <v>2021/03/26</v>
      </c>
      <c r="D379" s="4">
        <f t="shared" si="20"/>
        <v>44281</v>
      </c>
      <c r="E379" s="4">
        <f t="shared" si="21"/>
        <v>45352</v>
      </c>
      <c r="F379" t="str">
        <f>"2024/03/01"</f>
        <v>2024/03/01</v>
      </c>
      <c r="G379" s="1" t="s">
        <v>5</v>
      </c>
      <c r="H379">
        <v>1987</v>
      </c>
      <c r="I379" s="1" t="s">
        <v>13</v>
      </c>
      <c r="J379" s="1" t="s">
        <v>222</v>
      </c>
      <c r="K379" s="1" t="s">
        <v>1127</v>
      </c>
    </row>
    <row r="380" spans="1:11" x14ac:dyDescent="0.35">
      <c r="A380" t="s">
        <v>1131</v>
      </c>
      <c r="B380" s="1" t="s">
        <v>1132</v>
      </c>
      <c r="C380" t="str">
        <f>"2021/03/26"</f>
        <v>2021/03/26</v>
      </c>
      <c r="D380" s="4">
        <f t="shared" si="20"/>
        <v>44281</v>
      </c>
      <c r="E380" s="4">
        <f t="shared" si="21"/>
        <v>45352</v>
      </c>
      <c r="F380" t="str">
        <f>"2024/03/01"</f>
        <v>2024/03/01</v>
      </c>
      <c r="G380" s="1" t="s">
        <v>5</v>
      </c>
      <c r="H380">
        <v>1958</v>
      </c>
      <c r="I380" s="1" t="s">
        <v>124</v>
      </c>
      <c r="J380" s="1" t="s">
        <v>13</v>
      </c>
      <c r="K380" s="1" t="s">
        <v>1127</v>
      </c>
    </row>
    <row r="381" spans="1:11" x14ac:dyDescent="0.35">
      <c r="A381" t="s">
        <v>1136</v>
      </c>
      <c r="B381" s="1" t="s">
        <v>1137</v>
      </c>
      <c r="C381" t="str">
        <f>"2021/03/19"</f>
        <v>2021/03/19</v>
      </c>
      <c r="D381" s="4">
        <f t="shared" si="20"/>
        <v>44274</v>
      </c>
      <c r="E381" s="4">
        <f t="shared" si="21"/>
        <v>45350</v>
      </c>
      <c r="F381" t="str">
        <f>"2024/02/28"</f>
        <v>2024/02/28</v>
      </c>
      <c r="G381" s="1" t="s">
        <v>5</v>
      </c>
      <c r="H381">
        <v>2002</v>
      </c>
      <c r="I381" s="1" t="s">
        <v>13</v>
      </c>
      <c r="J381" s="1" t="s">
        <v>37</v>
      </c>
      <c r="K381" s="1" t="s">
        <v>789</v>
      </c>
    </row>
    <row r="382" spans="1:11" ht="29" x14ac:dyDescent="0.35">
      <c r="A382" t="s">
        <v>365</v>
      </c>
      <c r="B382" s="1" t="s">
        <v>366</v>
      </c>
      <c r="C382" t="str">
        <f>"2021/03/19"</f>
        <v>2021/03/19</v>
      </c>
      <c r="D382" s="4">
        <f t="shared" si="20"/>
        <v>44274</v>
      </c>
      <c r="E382" s="4">
        <f t="shared" si="21"/>
        <v>45383</v>
      </c>
      <c r="F382" t="str">
        <f>"2024/04/01"</f>
        <v>2024/04/01</v>
      </c>
      <c r="G382" s="1" t="s">
        <v>367</v>
      </c>
      <c r="H382">
        <v>2014</v>
      </c>
      <c r="I382" s="1" t="s">
        <v>124</v>
      </c>
      <c r="J382" s="1" t="s">
        <v>13</v>
      </c>
      <c r="K382" s="1" t="s">
        <v>368</v>
      </c>
    </row>
    <row r="383" spans="1:11" x14ac:dyDescent="0.35">
      <c r="A383" t="s">
        <v>357</v>
      </c>
      <c r="B383" s="1" t="s">
        <v>358</v>
      </c>
      <c r="C383" t="str">
        <f>"2021/03/08"</f>
        <v>2021/03/08</v>
      </c>
      <c r="D383" s="4">
        <f t="shared" si="20"/>
        <v>44263</v>
      </c>
      <c r="E383" s="4">
        <f t="shared" si="21"/>
        <v>45352</v>
      </c>
      <c r="F383" t="str">
        <f>"2024/03/01"</f>
        <v>2024/03/01</v>
      </c>
      <c r="G383" s="1" t="s">
        <v>61</v>
      </c>
      <c r="H383">
        <v>2015</v>
      </c>
      <c r="I383" s="1" t="s">
        <v>13</v>
      </c>
      <c r="J383" s="1" t="s">
        <v>117</v>
      </c>
      <c r="K383" s="1" t="s">
        <v>145</v>
      </c>
    </row>
    <row r="384" spans="1:11" ht="29" x14ac:dyDescent="0.35">
      <c r="A384" t="s">
        <v>1008</v>
      </c>
      <c r="B384" s="1" t="s">
        <v>1009</v>
      </c>
      <c r="C384" t="str">
        <f>"2021/03/01"</f>
        <v>2021/03/01</v>
      </c>
      <c r="D384" s="4">
        <f t="shared" si="20"/>
        <v>44256</v>
      </c>
      <c r="E384" s="4">
        <f t="shared" si="21"/>
        <v>48219</v>
      </c>
      <c r="F384" t="str">
        <f>"2032/01/06"</f>
        <v>2032/01/06</v>
      </c>
      <c r="G384" s="1" t="s">
        <v>61</v>
      </c>
      <c r="H384">
        <v>2019</v>
      </c>
      <c r="I384" s="1" t="s">
        <v>13</v>
      </c>
      <c r="J384" s="1" t="s">
        <v>168</v>
      </c>
      <c r="K384" s="1" t="s">
        <v>1010</v>
      </c>
    </row>
    <row r="385" spans="1:12" ht="29" x14ac:dyDescent="0.35">
      <c r="A385" t="s">
        <v>1123</v>
      </c>
      <c r="B385" s="1" t="s">
        <v>1124</v>
      </c>
      <c r="C385" t="str">
        <f>"2021/02/22"</f>
        <v>2021/02/22</v>
      </c>
      <c r="D385" s="4">
        <f t="shared" si="20"/>
        <v>44249</v>
      </c>
      <c r="E385" s="4">
        <f t="shared" si="21"/>
        <v>45323</v>
      </c>
      <c r="F385" t="str">
        <f t="shared" ref="F385:F390" si="27">"2024/02/01"</f>
        <v>2024/02/01</v>
      </c>
      <c r="G385" s="1" t="s">
        <v>11</v>
      </c>
      <c r="H385">
        <v>1982</v>
      </c>
      <c r="I385" s="1" t="s">
        <v>13</v>
      </c>
      <c r="J385" s="1" t="s">
        <v>117</v>
      </c>
      <c r="K385" s="1" t="s">
        <v>602</v>
      </c>
    </row>
    <row r="386" spans="1:12" ht="29" x14ac:dyDescent="0.35">
      <c r="A386" t="s">
        <v>1128</v>
      </c>
      <c r="B386" s="1" t="s">
        <v>1129</v>
      </c>
      <c r="C386" t="str">
        <f>"2021/02/22"</f>
        <v>2021/02/22</v>
      </c>
      <c r="D386" s="4">
        <f t="shared" ref="D386:D449" si="28">DATEVALUE(C386)</f>
        <v>44249</v>
      </c>
      <c r="E386" s="4">
        <f t="shared" ref="E386:E449" si="29">DATEVALUE(F386)</f>
        <v>45323</v>
      </c>
      <c r="F386" t="str">
        <f t="shared" si="27"/>
        <v>2024/02/01</v>
      </c>
      <c r="G386" s="1" t="s">
        <v>5</v>
      </c>
      <c r="H386">
        <v>2014</v>
      </c>
      <c r="I386" s="1" t="s">
        <v>13</v>
      </c>
      <c r="J386" s="1" t="s">
        <v>222</v>
      </c>
      <c r="K386" s="1" t="s">
        <v>1130</v>
      </c>
    </row>
    <row r="387" spans="1:12" x14ac:dyDescent="0.35">
      <c r="A387" t="s">
        <v>1117</v>
      </c>
      <c r="B387" s="1" t="s">
        <v>1118</v>
      </c>
      <c r="C387" t="str">
        <f>"2021/02/19"</f>
        <v>2021/02/19</v>
      </c>
      <c r="D387" s="4">
        <f t="shared" si="28"/>
        <v>44246</v>
      </c>
      <c r="E387" s="4">
        <f t="shared" si="29"/>
        <v>45323</v>
      </c>
      <c r="F387" t="str">
        <f t="shared" si="27"/>
        <v>2024/02/01</v>
      </c>
      <c r="G387" s="1" t="s">
        <v>5</v>
      </c>
      <c r="H387">
        <v>2004</v>
      </c>
      <c r="I387" s="1" t="s">
        <v>13</v>
      </c>
      <c r="J387" s="1" t="s">
        <v>37</v>
      </c>
      <c r="K387" s="1" t="s">
        <v>105</v>
      </c>
    </row>
    <row r="388" spans="1:12" x14ac:dyDescent="0.35">
      <c r="A388" t="s">
        <v>103</v>
      </c>
      <c r="B388" s="1" t="s">
        <v>104</v>
      </c>
      <c r="C388" t="str">
        <f>"2021/02/17"</f>
        <v>2021/02/17</v>
      </c>
      <c r="D388" s="4">
        <f t="shared" si="28"/>
        <v>44244</v>
      </c>
      <c r="E388" s="4">
        <f t="shared" si="29"/>
        <v>45323</v>
      </c>
      <c r="F388" t="str">
        <f t="shared" si="27"/>
        <v>2024/02/01</v>
      </c>
      <c r="G388" s="1" t="s">
        <v>87</v>
      </c>
      <c r="H388">
        <v>2009</v>
      </c>
      <c r="I388" s="1" t="s">
        <v>13</v>
      </c>
      <c r="J388" s="1" t="s">
        <v>37</v>
      </c>
      <c r="K388" s="1" t="s">
        <v>105</v>
      </c>
    </row>
    <row r="389" spans="1:12" x14ac:dyDescent="0.35">
      <c r="A389" t="s">
        <v>225</v>
      </c>
      <c r="B389" s="1" t="s">
        <v>226</v>
      </c>
      <c r="C389" t="str">
        <f>"2021/02/08"</f>
        <v>2021/02/08</v>
      </c>
      <c r="D389" s="4">
        <f t="shared" si="28"/>
        <v>44235</v>
      </c>
      <c r="E389" s="4">
        <f t="shared" si="29"/>
        <v>45323</v>
      </c>
      <c r="F389" t="str">
        <f t="shared" si="27"/>
        <v>2024/02/01</v>
      </c>
      <c r="G389" s="1" t="s">
        <v>227</v>
      </c>
      <c r="H389">
        <v>2013</v>
      </c>
      <c r="I389" s="1" t="s">
        <v>13</v>
      </c>
      <c r="J389" s="1" t="s">
        <v>22</v>
      </c>
      <c r="K389" s="1" t="s">
        <v>228</v>
      </c>
    </row>
    <row r="390" spans="1:12" x14ac:dyDescent="0.35">
      <c r="A390" t="s">
        <v>585</v>
      </c>
      <c r="B390" s="1" t="s">
        <v>586</v>
      </c>
      <c r="C390" t="str">
        <f>"2021/02/08"</f>
        <v>2021/02/08</v>
      </c>
      <c r="D390" s="4">
        <f t="shared" si="28"/>
        <v>44235</v>
      </c>
      <c r="E390" s="4">
        <f t="shared" si="29"/>
        <v>45323</v>
      </c>
      <c r="F390" t="str">
        <f t="shared" si="27"/>
        <v>2024/02/01</v>
      </c>
      <c r="G390" s="1" t="s">
        <v>587</v>
      </c>
      <c r="H390">
        <v>2016</v>
      </c>
      <c r="I390" s="1" t="s">
        <v>12</v>
      </c>
      <c r="J390" s="1" t="s">
        <v>13</v>
      </c>
      <c r="K390" s="1" t="s">
        <v>588</v>
      </c>
    </row>
    <row r="391" spans="1:12" x14ac:dyDescent="0.35">
      <c r="A391" t="s">
        <v>316</v>
      </c>
      <c r="B391" s="1" t="s">
        <v>317</v>
      </c>
      <c r="C391" t="str">
        <f>"2021/01/13"</f>
        <v>2021/01/13</v>
      </c>
      <c r="D391" s="4">
        <f t="shared" si="28"/>
        <v>44209</v>
      </c>
      <c r="E391" s="4">
        <f t="shared" si="29"/>
        <v>45230</v>
      </c>
      <c r="F391" t="str">
        <f>"2023/10/31"</f>
        <v>2023/10/31</v>
      </c>
      <c r="G391" s="1" t="s">
        <v>61</v>
      </c>
      <c r="H391">
        <v>2014</v>
      </c>
      <c r="I391" s="1" t="s">
        <v>12</v>
      </c>
      <c r="K391" s="1" t="s">
        <v>318</v>
      </c>
    </row>
    <row r="392" spans="1:12" x14ac:dyDescent="0.35">
      <c r="A392" t="s">
        <v>1098</v>
      </c>
      <c r="B392" s="1" t="s">
        <v>1099</v>
      </c>
      <c r="C392" t="str">
        <f>"2021/01/04"</f>
        <v>2021/01/04</v>
      </c>
      <c r="D392" s="4">
        <f t="shared" si="28"/>
        <v>44200</v>
      </c>
      <c r="E392" s="4">
        <f t="shared" si="29"/>
        <v>45230</v>
      </c>
      <c r="F392" t="str">
        <f>"2023/10/31"</f>
        <v>2023/10/31</v>
      </c>
      <c r="G392" s="1" t="s">
        <v>36</v>
      </c>
      <c r="H392">
        <v>2014</v>
      </c>
      <c r="I392" s="1" t="s">
        <v>124</v>
      </c>
      <c r="J392" s="1" t="s">
        <v>13</v>
      </c>
      <c r="K392" s="1" t="s">
        <v>1100</v>
      </c>
    </row>
    <row r="393" spans="1:12" x14ac:dyDescent="0.35">
      <c r="A393" t="s">
        <v>157</v>
      </c>
      <c r="B393" s="1" t="s">
        <v>158</v>
      </c>
      <c r="C393" t="str">
        <f t="shared" ref="C393:C400" si="30">"2021/01/01"</f>
        <v>2021/01/01</v>
      </c>
      <c r="D393" s="4">
        <f t="shared" si="28"/>
        <v>44197</v>
      </c>
      <c r="E393" s="4">
        <f t="shared" si="29"/>
        <v>45306</v>
      </c>
      <c r="F393" t="str">
        <f t="shared" ref="F393:F400" si="31">"2024/01/15"</f>
        <v>2024/01/15</v>
      </c>
      <c r="G393" s="1" t="s">
        <v>61</v>
      </c>
      <c r="H393">
        <v>1976</v>
      </c>
      <c r="I393" s="1" t="s">
        <v>13</v>
      </c>
      <c r="J393" s="1" t="s">
        <v>18</v>
      </c>
      <c r="K393" s="1" t="s">
        <v>153</v>
      </c>
      <c r="L393" s="1" t="s">
        <v>159</v>
      </c>
    </row>
    <row r="394" spans="1:12" x14ac:dyDescent="0.35">
      <c r="A394" t="s">
        <v>160</v>
      </c>
      <c r="B394" s="1" t="s">
        <v>161</v>
      </c>
      <c r="C394" t="str">
        <f t="shared" si="30"/>
        <v>2021/01/01</v>
      </c>
      <c r="D394" s="4">
        <f t="shared" si="28"/>
        <v>44197</v>
      </c>
      <c r="E394" s="4">
        <f t="shared" si="29"/>
        <v>45306</v>
      </c>
      <c r="F394" t="str">
        <f t="shared" si="31"/>
        <v>2024/01/15</v>
      </c>
      <c r="G394" s="1" t="s">
        <v>61</v>
      </c>
      <c r="H394">
        <v>1978</v>
      </c>
      <c r="I394" s="1" t="s">
        <v>12</v>
      </c>
      <c r="J394" s="1" t="s">
        <v>13</v>
      </c>
      <c r="K394" s="1" t="s">
        <v>153</v>
      </c>
    </row>
    <row r="395" spans="1:12" x14ac:dyDescent="0.35">
      <c r="A395" t="s">
        <v>218</v>
      </c>
      <c r="B395" s="1" t="s">
        <v>219</v>
      </c>
      <c r="C395" t="str">
        <f t="shared" si="30"/>
        <v>2021/01/01</v>
      </c>
      <c r="D395" s="4">
        <f t="shared" si="28"/>
        <v>44197</v>
      </c>
      <c r="E395" s="4">
        <f t="shared" si="29"/>
        <v>45306</v>
      </c>
      <c r="F395" t="str">
        <f t="shared" si="31"/>
        <v>2024/01/15</v>
      </c>
      <c r="G395" s="1" t="s">
        <v>61</v>
      </c>
      <c r="H395">
        <v>1980</v>
      </c>
      <c r="I395" s="1" t="s">
        <v>13</v>
      </c>
      <c r="J395" s="1" t="s">
        <v>7</v>
      </c>
      <c r="K395" s="1" t="s">
        <v>153</v>
      </c>
    </row>
    <row r="396" spans="1:12" x14ac:dyDescent="0.35">
      <c r="A396" t="s">
        <v>220</v>
      </c>
      <c r="B396" s="1" t="s">
        <v>221</v>
      </c>
      <c r="C396" t="str">
        <f t="shared" si="30"/>
        <v>2021/01/01</v>
      </c>
      <c r="D396" s="4">
        <f t="shared" si="28"/>
        <v>44197</v>
      </c>
      <c r="E396" s="4">
        <f t="shared" si="29"/>
        <v>45306</v>
      </c>
      <c r="F396" t="str">
        <f t="shared" si="31"/>
        <v>2024/01/15</v>
      </c>
      <c r="G396" s="1" t="s">
        <v>61</v>
      </c>
      <c r="H396">
        <v>1989</v>
      </c>
      <c r="I396" s="1" t="s">
        <v>13</v>
      </c>
      <c r="J396" s="1" t="s">
        <v>222</v>
      </c>
      <c r="K396" s="1" t="s">
        <v>153</v>
      </c>
    </row>
    <row r="397" spans="1:12" x14ac:dyDescent="0.35">
      <c r="A397" t="s">
        <v>223</v>
      </c>
      <c r="B397" s="1" t="s">
        <v>224</v>
      </c>
      <c r="C397" t="str">
        <f t="shared" si="30"/>
        <v>2021/01/01</v>
      </c>
      <c r="D397" s="4">
        <f t="shared" si="28"/>
        <v>44197</v>
      </c>
      <c r="E397" s="4">
        <f t="shared" si="29"/>
        <v>45306</v>
      </c>
      <c r="F397" t="str">
        <f t="shared" si="31"/>
        <v>2024/01/15</v>
      </c>
      <c r="G397" s="1" t="s">
        <v>61</v>
      </c>
      <c r="H397">
        <v>1987</v>
      </c>
      <c r="I397" s="1" t="s">
        <v>13</v>
      </c>
      <c r="J397" s="1" t="s">
        <v>7</v>
      </c>
      <c r="K397" s="1" t="s">
        <v>153</v>
      </c>
    </row>
    <row r="398" spans="1:12" x14ac:dyDescent="0.35">
      <c r="A398" t="s">
        <v>978</v>
      </c>
      <c r="B398" s="1" t="s">
        <v>979</v>
      </c>
      <c r="C398" t="str">
        <f t="shared" si="30"/>
        <v>2021/01/01</v>
      </c>
      <c r="D398" s="4">
        <f t="shared" si="28"/>
        <v>44197</v>
      </c>
      <c r="E398" s="4">
        <f t="shared" si="29"/>
        <v>45306</v>
      </c>
      <c r="F398" t="str">
        <f t="shared" si="31"/>
        <v>2024/01/15</v>
      </c>
      <c r="G398" s="1" t="s">
        <v>5</v>
      </c>
      <c r="H398">
        <v>1959</v>
      </c>
      <c r="I398" s="1" t="s">
        <v>32</v>
      </c>
      <c r="J398" s="1" t="s">
        <v>22</v>
      </c>
      <c r="K398" s="1" t="s">
        <v>980</v>
      </c>
    </row>
    <row r="399" spans="1:12" x14ac:dyDescent="0.35">
      <c r="A399" t="s">
        <v>984</v>
      </c>
      <c r="B399" s="1" t="s">
        <v>985</v>
      </c>
      <c r="C399" t="str">
        <f t="shared" si="30"/>
        <v>2021/01/01</v>
      </c>
      <c r="D399" s="4">
        <f t="shared" si="28"/>
        <v>44197</v>
      </c>
      <c r="E399" s="4">
        <f t="shared" si="29"/>
        <v>45306</v>
      </c>
      <c r="F399" t="str">
        <f t="shared" si="31"/>
        <v>2024/01/15</v>
      </c>
      <c r="G399" s="1" t="s">
        <v>395</v>
      </c>
      <c r="H399">
        <v>1970</v>
      </c>
      <c r="I399" s="1" t="s">
        <v>83</v>
      </c>
      <c r="J399" s="1" t="s">
        <v>13</v>
      </c>
      <c r="K399" s="1" t="s">
        <v>986</v>
      </c>
    </row>
    <row r="400" spans="1:12" x14ac:dyDescent="0.35">
      <c r="A400" t="s">
        <v>987</v>
      </c>
      <c r="B400" s="1" t="s">
        <v>988</v>
      </c>
      <c r="C400" t="str">
        <f t="shared" si="30"/>
        <v>2021/01/01</v>
      </c>
      <c r="D400" s="4">
        <f t="shared" si="28"/>
        <v>44197</v>
      </c>
      <c r="E400" s="4">
        <f t="shared" si="29"/>
        <v>45306</v>
      </c>
      <c r="F400" t="str">
        <f t="shared" si="31"/>
        <v>2024/01/15</v>
      </c>
      <c r="G400" s="1" t="s">
        <v>989</v>
      </c>
      <c r="H400">
        <v>1972</v>
      </c>
      <c r="I400" s="1" t="s">
        <v>124</v>
      </c>
      <c r="J400" s="1" t="s">
        <v>13</v>
      </c>
      <c r="K400" s="1" t="s">
        <v>990</v>
      </c>
    </row>
    <row r="401" spans="1:12" x14ac:dyDescent="0.35">
      <c r="A401" t="s">
        <v>1089</v>
      </c>
      <c r="B401" s="1" t="s">
        <v>1090</v>
      </c>
      <c r="C401" t="str">
        <f>"2020/12/23"</f>
        <v>2020/12/23</v>
      </c>
      <c r="D401" s="4">
        <f t="shared" si="28"/>
        <v>44188</v>
      </c>
      <c r="E401" s="4">
        <f t="shared" si="29"/>
        <v>45230</v>
      </c>
      <c r="F401" t="str">
        <f>"2023/10/31"</f>
        <v>2023/10/31</v>
      </c>
      <c r="G401" s="1" t="s">
        <v>61</v>
      </c>
      <c r="H401">
        <v>2012</v>
      </c>
      <c r="I401" s="1" t="s">
        <v>52</v>
      </c>
      <c r="J401" s="1" t="s">
        <v>12</v>
      </c>
      <c r="K401" s="1" t="s">
        <v>1091</v>
      </c>
      <c r="L401" s="1" t="s">
        <v>1092</v>
      </c>
    </row>
    <row r="402" spans="1:12" x14ac:dyDescent="0.35">
      <c r="A402" t="s">
        <v>1093</v>
      </c>
      <c r="B402" s="1" t="s">
        <v>1094</v>
      </c>
      <c r="C402" t="str">
        <f>"2020/12/23"</f>
        <v>2020/12/23</v>
      </c>
      <c r="D402" s="4">
        <f t="shared" si="28"/>
        <v>44188</v>
      </c>
      <c r="E402" s="4">
        <f t="shared" si="29"/>
        <v>45230</v>
      </c>
      <c r="F402" t="str">
        <f>"2023/10/31"</f>
        <v>2023/10/31</v>
      </c>
      <c r="G402" s="1" t="s">
        <v>5</v>
      </c>
      <c r="H402">
        <v>2016</v>
      </c>
      <c r="I402" s="1" t="s">
        <v>13</v>
      </c>
      <c r="J402" s="1" t="s">
        <v>37</v>
      </c>
      <c r="K402" s="1" t="s">
        <v>789</v>
      </c>
    </row>
    <row r="403" spans="1:12" x14ac:dyDescent="0.35">
      <c r="A403" t="s">
        <v>1095</v>
      </c>
      <c r="B403" s="1" t="s">
        <v>1096</v>
      </c>
      <c r="C403" t="str">
        <f>"2020/12/17"</f>
        <v>2020/12/17</v>
      </c>
      <c r="D403" s="4">
        <f t="shared" si="28"/>
        <v>44182</v>
      </c>
      <c r="E403" s="4">
        <f t="shared" si="29"/>
        <v>45824</v>
      </c>
      <c r="F403" t="str">
        <f>"2025/06/16"</f>
        <v>2025/06/16</v>
      </c>
      <c r="G403" s="1" t="s">
        <v>5</v>
      </c>
      <c r="H403">
        <v>1995</v>
      </c>
      <c r="I403" s="1" t="s">
        <v>6</v>
      </c>
      <c r="J403" s="1" t="s">
        <v>124</v>
      </c>
      <c r="K403" s="1" t="s">
        <v>1097</v>
      </c>
    </row>
    <row r="404" spans="1:12" x14ac:dyDescent="0.35">
      <c r="A404" t="s">
        <v>612</v>
      </c>
      <c r="B404" s="1" t="s">
        <v>613</v>
      </c>
      <c r="C404" t="str">
        <f>"2020/12/01"</f>
        <v>2020/12/01</v>
      </c>
      <c r="D404" s="4">
        <f t="shared" si="28"/>
        <v>44166</v>
      </c>
      <c r="E404" s="4">
        <f t="shared" si="29"/>
        <v>45230</v>
      </c>
      <c r="F404" t="str">
        <f>"2023/10/31"</f>
        <v>2023/10/31</v>
      </c>
      <c r="G404" s="1" t="s">
        <v>61</v>
      </c>
      <c r="H404">
        <v>2017</v>
      </c>
      <c r="I404" s="1" t="s">
        <v>12</v>
      </c>
      <c r="J404" s="1" t="s">
        <v>8</v>
      </c>
      <c r="K404" s="1" t="s">
        <v>614</v>
      </c>
    </row>
    <row r="405" spans="1:12" x14ac:dyDescent="0.35">
      <c r="A405" t="s">
        <v>589</v>
      </c>
      <c r="B405" s="1" t="s">
        <v>590</v>
      </c>
      <c r="C405" t="str">
        <f>"2020/11/30"</f>
        <v>2020/11/30</v>
      </c>
      <c r="D405" s="4">
        <f t="shared" si="28"/>
        <v>44165</v>
      </c>
      <c r="E405" s="4">
        <f t="shared" si="29"/>
        <v>45230</v>
      </c>
      <c r="F405" t="str">
        <f>"2023/10/31"</f>
        <v>2023/10/31</v>
      </c>
      <c r="G405" s="1" t="s">
        <v>214</v>
      </c>
      <c r="H405">
        <v>2013</v>
      </c>
      <c r="I405" s="1" t="s">
        <v>41</v>
      </c>
      <c r="J405" s="1" t="s">
        <v>124</v>
      </c>
      <c r="K405" s="1" t="s">
        <v>591</v>
      </c>
    </row>
    <row r="406" spans="1:12" x14ac:dyDescent="0.35">
      <c r="A406" s="5" t="s">
        <v>793</v>
      </c>
      <c r="B406" s="6" t="s">
        <v>794</v>
      </c>
      <c r="C406" s="5" t="str">
        <f>"2020/11/23"</f>
        <v>2020/11/23</v>
      </c>
      <c r="D406" s="7">
        <f t="shared" si="28"/>
        <v>44158</v>
      </c>
      <c r="E406" s="7">
        <f t="shared" si="29"/>
        <v>45199</v>
      </c>
      <c r="F406" s="5" t="str">
        <f>"2023/09/30"</f>
        <v>2023/09/30</v>
      </c>
      <c r="G406" s="6" t="s">
        <v>61</v>
      </c>
      <c r="H406" s="5">
        <v>2017</v>
      </c>
      <c r="I406" s="6" t="s">
        <v>13</v>
      </c>
      <c r="J406" s="6" t="s">
        <v>117</v>
      </c>
      <c r="K406" s="6" t="s">
        <v>795</v>
      </c>
      <c r="L406" s="6"/>
    </row>
    <row r="407" spans="1:12" ht="29" x14ac:dyDescent="0.35">
      <c r="A407" s="5" t="s">
        <v>948</v>
      </c>
      <c r="B407" s="6" t="s">
        <v>949</v>
      </c>
      <c r="C407" s="5" t="str">
        <f>"2020/11/18"</f>
        <v>2020/11/18</v>
      </c>
      <c r="D407" s="7">
        <f t="shared" si="28"/>
        <v>44153</v>
      </c>
      <c r="E407" s="7">
        <f t="shared" si="29"/>
        <v>45199</v>
      </c>
      <c r="F407" s="5" t="str">
        <f>"2023/09/30"</f>
        <v>2023/09/30</v>
      </c>
      <c r="G407" s="6" t="s">
        <v>950</v>
      </c>
      <c r="H407" s="5">
        <v>2018</v>
      </c>
      <c r="I407" s="6" t="s">
        <v>13</v>
      </c>
      <c r="J407" s="6"/>
      <c r="K407" s="6" t="s">
        <v>951</v>
      </c>
      <c r="L407" s="6"/>
    </row>
    <row r="408" spans="1:12" x14ac:dyDescent="0.35">
      <c r="A408" s="5" t="s">
        <v>737</v>
      </c>
      <c r="B408" s="6" t="s">
        <v>738</v>
      </c>
      <c r="C408" s="5" t="str">
        <f>"2020/11/17"</f>
        <v>2020/11/17</v>
      </c>
      <c r="D408" s="7">
        <f t="shared" si="28"/>
        <v>44152</v>
      </c>
      <c r="E408" s="7">
        <f t="shared" si="29"/>
        <v>45199</v>
      </c>
      <c r="F408" s="5" t="str">
        <f>"2023/09/30"</f>
        <v>2023/09/30</v>
      </c>
      <c r="G408" s="6" t="s">
        <v>739</v>
      </c>
      <c r="H408" s="5">
        <v>2017</v>
      </c>
      <c r="I408" s="6" t="s">
        <v>13</v>
      </c>
      <c r="J408" s="6" t="s">
        <v>22</v>
      </c>
      <c r="K408" s="6" t="s">
        <v>740</v>
      </c>
      <c r="L408" s="6"/>
    </row>
    <row r="409" spans="1:12" x14ac:dyDescent="0.35">
      <c r="A409" s="5" t="s">
        <v>1014</v>
      </c>
      <c r="B409" s="6" t="s">
        <v>1015</v>
      </c>
      <c r="C409" s="5" t="str">
        <f>"2020/11/13"</f>
        <v>2020/11/13</v>
      </c>
      <c r="D409" s="7">
        <f t="shared" si="28"/>
        <v>44148</v>
      </c>
      <c r="E409" s="7">
        <f t="shared" si="29"/>
        <v>45199</v>
      </c>
      <c r="F409" s="5" t="str">
        <f>"2023/09/30"</f>
        <v>2023/09/30</v>
      </c>
      <c r="G409" s="6" t="s">
        <v>188</v>
      </c>
      <c r="H409" s="5">
        <v>2019</v>
      </c>
      <c r="I409" s="6" t="s">
        <v>13</v>
      </c>
      <c r="J409" s="6"/>
      <c r="K409" s="6" t="s">
        <v>1016</v>
      </c>
      <c r="L409" s="6"/>
    </row>
    <row r="410" spans="1:12" x14ac:dyDescent="0.35">
      <c r="A410" s="5" t="s">
        <v>790</v>
      </c>
      <c r="B410" s="6" t="s">
        <v>791</v>
      </c>
      <c r="C410" s="5" t="str">
        <f>"2020/11/09"</f>
        <v>2020/11/09</v>
      </c>
      <c r="D410" s="7">
        <f t="shared" si="28"/>
        <v>44144</v>
      </c>
      <c r="E410" s="7">
        <f t="shared" si="29"/>
        <v>45199</v>
      </c>
      <c r="F410" s="5" t="str">
        <f>"2023/09/30"</f>
        <v>2023/09/30</v>
      </c>
      <c r="G410" s="6" t="s">
        <v>61</v>
      </c>
      <c r="H410" s="5">
        <v>2018</v>
      </c>
      <c r="I410" s="6" t="s">
        <v>13</v>
      </c>
      <c r="J410" s="6" t="s">
        <v>117</v>
      </c>
      <c r="K410" s="6" t="s">
        <v>792</v>
      </c>
      <c r="L410" s="6"/>
    </row>
    <row r="411" spans="1:12" x14ac:dyDescent="0.35">
      <c r="A411" t="s">
        <v>561</v>
      </c>
      <c r="B411" s="1" t="s">
        <v>562</v>
      </c>
      <c r="C411" t="str">
        <f>"2020/09/16"</f>
        <v>2020/09/16</v>
      </c>
      <c r="D411" s="4">
        <f t="shared" si="28"/>
        <v>44090</v>
      </c>
      <c r="E411" s="4">
        <f t="shared" si="29"/>
        <v>45352</v>
      </c>
      <c r="F411" t="str">
        <f>"2024/03/01"</f>
        <v>2024/03/01</v>
      </c>
      <c r="G411" s="1" t="s">
        <v>277</v>
      </c>
      <c r="H411">
        <v>2015</v>
      </c>
      <c r="I411" s="1" t="s">
        <v>52</v>
      </c>
      <c r="J411" s="1" t="s">
        <v>13</v>
      </c>
      <c r="K411" s="1" t="s">
        <v>237</v>
      </c>
    </row>
    <row r="412" spans="1:12" x14ac:dyDescent="0.35">
      <c r="A412" t="s">
        <v>955</v>
      </c>
      <c r="B412" s="1" t="s">
        <v>956</v>
      </c>
      <c r="C412" t="str">
        <f>"2020/09/01"</f>
        <v>2020/09/01</v>
      </c>
      <c r="D412" s="4">
        <f t="shared" si="28"/>
        <v>44075</v>
      </c>
      <c r="E412" s="4">
        <f t="shared" si="29"/>
        <v>45352</v>
      </c>
      <c r="F412" t="str">
        <f>"2024/03/01"</f>
        <v>2024/03/01</v>
      </c>
      <c r="G412" s="1" t="s">
        <v>512</v>
      </c>
      <c r="H412">
        <v>2018</v>
      </c>
      <c r="I412" s="1" t="s">
        <v>13</v>
      </c>
      <c r="K412" s="1" t="s">
        <v>957</v>
      </c>
    </row>
    <row r="413" spans="1:12" x14ac:dyDescent="0.35">
      <c r="A413" t="s">
        <v>1006</v>
      </c>
      <c r="B413" s="1" t="s">
        <v>1007</v>
      </c>
      <c r="C413" t="str">
        <f>"2020/08/17"</f>
        <v>2020/08/17</v>
      </c>
      <c r="D413" s="4">
        <f t="shared" si="28"/>
        <v>44060</v>
      </c>
      <c r="E413" s="4">
        <f t="shared" si="29"/>
        <v>45350</v>
      </c>
      <c r="F413" t="str">
        <f>"2024/02/28"</f>
        <v>2024/02/28</v>
      </c>
      <c r="G413" s="1" t="s">
        <v>27</v>
      </c>
      <c r="H413">
        <v>2002</v>
      </c>
      <c r="I413" s="1" t="s">
        <v>7</v>
      </c>
      <c r="J413" s="1" t="s">
        <v>8</v>
      </c>
      <c r="K413" s="1" t="s">
        <v>816</v>
      </c>
    </row>
    <row r="414" spans="1:12" x14ac:dyDescent="0.35">
      <c r="A414" t="s">
        <v>1001</v>
      </c>
      <c r="B414" s="1" t="s">
        <v>1002</v>
      </c>
      <c r="C414" t="str">
        <f>"2020/08/06"</f>
        <v>2020/08/06</v>
      </c>
      <c r="D414" s="4">
        <f t="shared" si="28"/>
        <v>44049</v>
      </c>
      <c r="E414" s="4">
        <f t="shared" si="29"/>
        <v>45350</v>
      </c>
      <c r="F414" t="str">
        <f>"2024/02/28"</f>
        <v>2024/02/28</v>
      </c>
      <c r="G414" s="1" t="s">
        <v>27</v>
      </c>
      <c r="H414">
        <v>2000</v>
      </c>
      <c r="I414" s="1" t="s">
        <v>83</v>
      </c>
      <c r="J414" s="1" t="s">
        <v>240</v>
      </c>
      <c r="K414" s="1" t="s">
        <v>1003</v>
      </c>
    </row>
    <row r="415" spans="1:12" x14ac:dyDescent="0.35">
      <c r="A415" t="s">
        <v>1004</v>
      </c>
      <c r="B415" s="1" t="s">
        <v>1005</v>
      </c>
      <c r="C415" t="str">
        <f>"2020/08/06"</f>
        <v>2020/08/06</v>
      </c>
      <c r="D415" s="4">
        <f t="shared" si="28"/>
        <v>44049</v>
      </c>
      <c r="E415" s="4">
        <f t="shared" si="29"/>
        <v>45350</v>
      </c>
      <c r="F415" t="str">
        <f>"2024/02/28"</f>
        <v>2024/02/28</v>
      </c>
      <c r="G415" s="1" t="s">
        <v>27</v>
      </c>
      <c r="H415">
        <v>1997</v>
      </c>
      <c r="I415" s="1" t="s">
        <v>8</v>
      </c>
      <c r="K415" s="1" t="s">
        <v>771</v>
      </c>
    </row>
    <row r="416" spans="1:12" x14ac:dyDescent="0.35">
      <c r="A416" t="s">
        <v>1047</v>
      </c>
      <c r="B416" s="1" t="s">
        <v>1048</v>
      </c>
      <c r="C416" t="str">
        <f>"2020/07/30"</f>
        <v>2020/07/30</v>
      </c>
      <c r="D416" s="4">
        <f t="shared" si="28"/>
        <v>44042</v>
      </c>
      <c r="E416" s="4">
        <f t="shared" si="29"/>
        <v>47665</v>
      </c>
      <c r="F416" t="str">
        <f>"2030/07/01"</f>
        <v>2030/07/01</v>
      </c>
      <c r="G416" s="1" t="s">
        <v>1049</v>
      </c>
      <c r="H416">
        <v>2020</v>
      </c>
      <c r="I416" s="1" t="s">
        <v>31</v>
      </c>
      <c r="J416" s="1" t="s">
        <v>240</v>
      </c>
      <c r="K416" s="1" t="s">
        <v>1050</v>
      </c>
    </row>
    <row r="417" spans="1:12" x14ac:dyDescent="0.35">
      <c r="A417" t="s">
        <v>1041</v>
      </c>
      <c r="B417" s="1" t="s">
        <v>1042</v>
      </c>
      <c r="C417" t="str">
        <f>"2020/07/24"</f>
        <v>2020/07/24</v>
      </c>
      <c r="D417" s="4">
        <f t="shared" si="28"/>
        <v>44036</v>
      </c>
      <c r="E417" s="4">
        <f t="shared" si="29"/>
        <v>45382</v>
      </c>
      <c r="F417" t="str">
        <f>"2024/03/31"</f>
        <v>2024/03/31</v>
      </c>
      <c r="G417" s="1" t="s">
        <v>27</v>
      </c>
      <c r="H417">
        <v>2003</v>
      </c>
      <c r="I417" s="1" t="s">
        <v>13</v>
      </c>
      <c r="J417" s="1" t="s">
        <v>22</v>
      </c>
      <c r="K417" s="1" t="s">
        <v>1043</v>
      </c>
    </row>
    <row r="418" spans="1:12" x14ac:dyDescent="0.35">
      <c r="A418" t="s">
        <v>1051</v>
      </c>
      <c r="B418" s="1" t="s">
        <v>1052</v>
      </c>
      <c r="C418" t="str">
        <f>"2020/07/16"</f>
        <v>2020/07/16</v>
      </c>
      <c r="D418" s="4">
        <f t="shared" si="28"/>
        <v>44028</v>
      </c>
      <c r="E418" s="4">
        <f t="shared" si="29"/>
        <v>46898</v>
      </c>
      <c r="F418" t="str">
        <f>"2028/05/25"</f>
        <v>2028/05/25</v>
      </c>
      <c r="G418" s="1" t="s">
        <v>98</v>
      </c>
      <c r="H418">
        <v>2018</v>
      </c>
      <c r="I418" s="1" t="s">
        <v>282</v>
      </c>
      <c r="J418" s="1" t="s">
        <v>52</v>
      </c>
      <c r="K418" s="1" t="s">
        <v>1053</v>
      </c>
    </row>
    <row r="419" spans="1:12" x14ac:dyDescent="0.35">
      <c r="A419" t="s">
        <v>1054</v>
      </c>
      <c r="B419" s="1" t="s">
        <v>1055</v>
      </c>
      <c r="C419" t="str">
        <f>"2020/07/02"</f>
        <v>2020/07/02</v>
      </c>
      <c r="D419" s="4">
        <f t="shared" si="28"/>
        <v>44014</v>
      </c>
      <c r="E419" s="4">
        <f t="shared" si="29"/>
        <v>48761</v>
      </c>
      <c r="F419" t="str">
        <f>"2033/07/01"</f>
        <v>2033/07/01</v>
      </c>
      <c r="G419" s="1" t="s">
        <v>61</v>
      </c>
      <c r="H419">
        <v>2019</v>
      </c>
      <c r="I419" s="1" t="s">
        <v>13</v>
      </c>
      <c r="K419" s="1" t="s">
        <v>1056</v>
      </c>
    </row>
    <row r="420" spans="1:12" x14ac:dyDescent="0.35">
      <c r="A420" s="5" t="s">
        <v>964</v>
      </c>
      <c r="B420" s="6" t="s">
        <v>965</v>
      </c>
      <c r="C420" s="5" t="str">
        <f>"2020/07/01"</f>
        <v>2020/07/01</v>
      </c>
      <c r="D420" s="7">
        <f t="shared" si="28"/>
        <v>44013</v>
      </c>
      <c r="E420" s="7">
        <f t="shared" si="29"/>
        <v>45199</v>
      </c>
      <c r="F420" s="5" t="str">
        <f>"2023/09/30"</f>
        <v>2023/09/30</v>
      </c>
      <c r="G420" s="6" t="s">
        <v>27</v>
      </c>
      <c r="H420" s="5">
        <v>1977</v>
      </c>
      <c r="I420" s="6" t="s">
        <v>8</v>
      </c>
      <c r="J420" s="6"/>
      <c r="K420" s="6" t="s">
        <v>966</v>
      </c>
      <c r="L420" s="6"/>
    </row>
    <row r="421" spans="1:12" x14ac:dyDescent="0.35">
      <c r="A421" t="s">
        <v>1044</v>
      </c>
      <c r="B421" s="1" t="s">
        <v>1045</v>
      </c>
      <c r="C421" t="str">
        <f>"2020/07/01"</f>
        <v>2020/07/01</v>
      </c>
      <c r="D421" s="4">
        <f t="shared" si="28"/>
        <v>44013</v>
      </c>
      <c r="E421" s="4">
        <f t="shared" si="29"/>
        <v>45350</v>
      </c>
      <c r="F421" t="str">
        <f>"2024/02/28"</f>
        <v>2024/02/28</v>
      </c>
      <c r="G421" s="1" t="s">
        <v>27</v>
      </c>
      <c r="H421">
        <v>1969</v>
      </c>
      <c r="I421" s="1" t="s">
        <v>13</v>
      </c>
      <c r="J421" s="1" t="s">
        <v>8</v>
      </c>
      <c r="K421" s="1" t="s">
        <v>1046</v>
      </c>
    </row>
    <row r="422" spans="1:12" x14ac:dyDescent="0.35">
      <c r="A422" t="s">
        <v>1029</v>
      </c>
      <c r="B422" s="1" t="s">
        <v>1030</v>
      </c>
      <c r="C422" t="str">
        <f>"2020/06/15"</f>
        <v>2020/06/15</v>
      </c>
      <c r="D422" s="4">
        <f t="shared" si="28"/>
        <v>43997</v>
      </c>
      <c r="E422" s="4">
        <f t="shared" si="29"/>
        <v>47566</v>
      </c>
      <c r="F422" t="str">
        <f>"2030/03/24"</f>
        <v>2030/03/24</v>
      </c>
      <c r="G422" s="1" t="s">
        <v>1031</v>
      </c>
      <c r="H422">
        <v>2019</v>
      </c>
      <c r="I422" s="1" t="s">
        <v>13</v>
      </c>
      <c r="J422" s="1" t="s">
        <v>240</v>
      </c>
      <c r="K422" s="1" t="s">
        <v>1032</v>
      </c>
    </row>
    <row r="423" spans="1:12" x14ac:dyDescent="0.35">
      <c r="A423" t="s">
        <v>39</v>
      </c>
      <c r="B423" s="1" t="s">
        <v>40</v>
      </c>
      <c r="C423" t="str">
        <f t="shared" ref="C423:C440" si="32">"2020/05/11"</f>
        <v>2020/05/11</v>
      </c>
      <c r="D423" s="4">
        <f t="shared" si="28"/>
        <v>43962</v>
      </c>
      <c r="E423" s="4">
        <f t="shared" si="29"/>
        <v>45351</v>
      </c>
      <c r="F423" t="str">
        <f t="shared" ref="F423:F440" si="33">"2024/02/29"</f>
        <v>2024/02/29</v>
      </c>
      <c r="G423" s="1" t="s">
        <v>27</v>
      </c>
      <c r="H423">
        <v>1957</v>
      </c>
      <c r="I423" s="1" t="s">
        <v>41</v>
      </c>
      <c r="J423" s="1" t="s">
        <v>6</v>
      </c>
      <c r="K423" s="1" t="s">
        <v>42</v>
      </c>
    </row>
    <row r="424" spans="1:12" x14ac:dyDescent="0.35">
      <c r="A424" t="s">
        <v>69</v>
      </c>
      <c r="B424" s="1" t="s">
        <v>70</v>
      </c>
      <c r="C424" t="str">
        <f t="shared" si="32"/>
        <v>2020/05/11</v>
      </c>
      <c r="D424" s="4">
        <f t="shared" si="28"/>
        <v>43962</v>
      </c>
      <c r="E424" s="4">
        <f t="shared" si="29"/>
        <v>45351</v>
      </c>
      <c r="F424" t="str">
        <f t="shared" si="33"/>
        <v>2024/02/29</v>
      </c>
      <c r="G424" s="1" t="s">
        <v>27</v>
      </c>
      <c r="H424">
        <v>1954</v>
      </c>
      <c r="I424" s="1" t="s">
        <v>13</v>
      </c>
      <c r="K424" s="1" t="s">
        <v>42</v>
      </c>
    </row>
    <row r="425" spans="1:12" x14ac:dyDescent="0.35">
      <c r="A425" t="s">
        <v>397</v>
      </c>
      <c r="B425" s="1" t="s">
        <v>398</v>
      </c>
      <c r="C425" t="str">
        <f t="shared" si="32"/>
        <v>2020/05/11</v>
      </c>
      <c r="D425" s="4">
        <f t="shared" si="28"/>
        <v>43962</v>
      </c>
      <c r="E425" s="4">
        <f t="shared" si="29"/>
        <v>45351</v>
      </c>
      <c r="F425" t="str">
        <f t="shared" si="33"/>
        <v>2024/02/29</v>
      </c>
      <c r="G425" s="1" t="s">
        <v>27</v>
      </c>
      <c r="H425">
        <v>1960</v>
      </c>
      <c r="I425" s="1" t="s">
        <v>124</v>
      </c>
      <c r="K425" s="1" t="s">
        <v>42</v>
      </c>
    </row>
    <row r="426" spans="1:12" x14ac:dyDescent="0.35">
      <c r="A426" t="s">
        <v>404</v>
      </c>
      <c r="B426" s="1" t="s">
        <v>405</v>
      </c>
      <c r="C426" t="str">
        <f t="shared" si="32"/>
        <v>2020/05/11</v>
      </c>
      <c r="D426" s="4">
        <f t="shared" si="28"/>
        <v>43962</v>
      </c>
      <c r="E426" s="4">
        <f t="shared" si="29"/>
        <v>45351</v>
      </c>
      <c r="F426" t="str">
        <f t="shared" si="33"/>
        <v>2024/02/29</v>
      </c>
      <c r="G426" s="1" t="s">
        <v>27</v>
      </c>
      <c r="H426">
        <v>1970</v>
      </c>
      <c r="I426" s="1" t="s">
        <v>13</v>
      </c>
      <c r="K426" s="1" t="s">
        <v>42</v>
      </c>
    </row>
    <row r="427" spans="1:12" x14ac:dyDescent="0.35">
      <c r="A427" t="s">
        <v>406</v>
      </c>
      <c r="B427" s="1" t="s">
        <v>407</v>
      </c>
      <c r="C427" t="str">
        <f t="shared" si="32"/>
        <v>2020/05/11</v>
      </c>
      <c r="D427" s="4">
        <f t="shared" si="28"/>
        <v>43962</v>
      </c>
      <c r="E427" s="4">
        <f t="shared" si="29"/>
        <v>45351</v>
      </c>
      <c r="F427" t="str">
        <f t="shared" si="33"/>
        <v>2024/02/29</v>
      </c>
      <c r="G427" s="1" t="s">
        <v>27</v>
      </c>
      <c r="H427">
        <v>1948</v>
      </c>
      <c r="I427" s="1" t="s">
        <v>124</v>
      </c>
      <c r="J427" s="1" t="s">
        <v>13</v>
      </c>
      <c r="K427" s="1" t="s">
        <v>42</v>
      </c>
    </row>
    <row r="428" spans="1:12" x14ac:dyDescent="0.35">
      <c r="A428" t="s">
        <v>416</v>
      </c>
      <c r="B428" s="1" t="s">
        <v>417</v>
      </c>
      <c r="C428" t="str">
        <f t="shared" si="32"/>
        <v>2020/05/11</v>
      </c>
      <c r="D428" s="4">
        <f t="shared" si="28"/>
        <v>43962</v>
      </c>
      <c r="E428" s="4">
        <f t="shared" si="29"/>
        <v>45351</v>
      </c>
      <c r="F428" t="str">
        <f t="shared" si="33"/>
        <v>2024/02/29</v>
      </c>
      <c r="G428" s="1" t="s">
        <v>27</v>
      </c>
      <c r="H428">
        <v>1955</v>
      </c>
      <c r="I428" s="1" t="s">
        <v>13</v>
      </c>
      <c r="K428" s="1" t="s">
        <v>418</v>
      </c>
    </row>
    <row r="429" spans="1:12" x14ac:dyDescent="0.35">
      <c r="A429" t="s">
        <v>419</v>
      </c>
      <c r="B429" s="1" t="s">
        <v>420</v>
      </c>
      <c r="C429" t="str">
        <f t="shared" si="32"/>
        <v>2020/05/11</v>
      </c>
      <c r="D429" s="4">
        <f t="shared" si="28"/>
        <v>43962</v>
      </c>
      <c r="E429" s="4">
        <f t="shared" si="29"/>
        <v>45351</v>
      </c>
      <c r="F429" t="str">
        <f t="shared" si="33"/>
        <v>2024/02/29</v>
      </c>
      <c r="G429" s="1" t="s">
        <v>27</v>
      </c>
      <c r="H429">
        <v>1958</v>
      </c>
      <c r="I429" s="1" t="s">
        <v>41</v>
      </c>
      <c r="J429" s="1" t="s">
        <v>83</v>
      </c>
      <c r="K429" s="1" t="s">
        <v>42</v>
      </c>
    </row>
    <row r="430" spans="1:12" x14ac:dyDescent="0.35">
      <c r="A430" t="s">
        <v>421</v>
      </c>
      <c r="B430" s="1" t="s">
        <v>422</v>
      </c>
      <c r="C430" t="str">
        <f t="shared" si="32"/>
        <v>2020/05/11</v>
      </c>
      <c r="D430" s="4">
        <f t="shared" si="28"/>
        <v>43962</v>
      </c>
      <c r="E430" s="4">
        <f t="shared" si="29"/>
        <v>45351</v>
      </c>
      <c r="F430" t="str">
        <f t="shared" si="33"/>
        <v>2024/02/29</v>
      </c>
      <c r="G430" s="1" t="s">
        <v>27</v>
      </c>
      <c r="H430">
        <v>1963</v>
      </c>
      <c r="I430" s="1" t="s">
        <v>124</v>
      </c>
      <c r="J430" s="1" t="s">
        <v>13</v>
      </c>
      <c r="K430" s="1" t="s">
        <v>42</v>
      </c>
    </row>
    <row r="431" spans="1:12" x14ac:dyDescent="0.35">
      <c r="A431" t="s">
        <v>428</v>
      </c>
      <c r="B431" s="1" t="s">
        <v>429</v>
      </c>
      <c r="C431" t="str">
        <f t="shared" si="32"/>
        <v>2020/05/11</v>
      </c>
      <c r="D431" s="4">
        <f t="shared" si="28"/>
        <v>43962</v>
      </c>
      <c r="E431" s="4">
        <f t="shared" si="29"/>
        <v>45351</v>
      </c>
      <c r="F431" t="str">
        <f t="shared" si="33"/>
        <v>2024/02/29</v>
      </c>
      <c r="G431" s="1" t="s">
        <v>27</v>
      </c>
      <c r="H431">
        <v>1952</v>
      </c>
      <c r="I431" s="1" t="s">
        <v>13</v>
      </c>
      <c r="K431" s="1" t="s">
        <v>42</v>
      </c>
    </row>
    <row r="432" spans="1:12" x14ac:dyDescent="0.35">
      <c r="A432" t="s">
        <v>430</v>
      </c>
      <c r="B432" s="1" t="s">
        <v>431</v>
      </c>
      <c r="C432" t="str">
        <f t="shared" si="32"/>
        <v>2020/05/11</v>
      </c>
      <c r="D432" s="4">
        <f t="shared" si="28"/>
        <v>43962</v>
      </c>
      <c r="E432" s="4">
        <f t="shared" si="29"/>
        <v>45351</v>
      </c>
      <c r="F432" t="str">
        <f t="shared" si="33"/>
        <v>2024/02/29</v>
      </c>
      <c r="G432" s="1" t="s">
        <v>27</v>
      </c>
      <c r="H432">
        <v>1955</v>
      </c>
      <c r="I432" s="1" t="s">
        <v>13</v>
      </c>
      <c r="K432" s="1" t="s">
        <v>42</v>
      </c>
    </row>
    <row r="433" spans="1:12" x14ac:dyDescent="0.35">
      <c r="A433" t="s">
        <v>437</v>
      </c>
      <c r="B433" s="1" t="s">
        <v>438</v>
      </c>
      <c r="C433" t="str">
        <f t="shared" si="32"/>
        <v>2020/05/11</v>
      </c>
      <c r="D433" s="4">
        <f t="shared" si="28"/>
        <v>43962</v>
      </c>
      <c r="E433" s="4">
        <f t="shared" si="29"/>
        <v>45351</v>
      </c>
      <c r="F433" t="str">
        <f t="shared" si="33"/>
        <v>2024/02/29</v>
      </c>
      <c r="G433" s="1" t="s">
        <v>27</v>
      </c>
      <c r="H433">
        <v>1954</v>
      </c>
      <c r="I433" s="1" t="s">
        <v>13</v>
      </c>
      <c r="K433" s="1" t="s">
        <v>418</v>
      </c>
    </row>
    <row r="434" spans="1:12" x14ac:dyDescent="0.35">
      <c r="A434" t="s">
        <v>470</v>
      </c>
      <c r="B434" s="1" t="s">
        <v>471</v>
      </c>
      <c r="C434" t="str">
        <f t="shared" si="32"/>
        <v>2020/05/11</v>
      </c>
      <c r="D434" s="4">
        <f t="shared" si="28"/>
        <v>43962</v>
      </c>
      <c r="E434" s="4">
        <f t="shared" si="29"/>
        <v>45351</v>
      </c>
      <c r="F434" t="str">
        <f t="shared" si="33"/>
        <v>2024/02/29</v>
      </c>
      <c r="G434" s="1" t="s">
        <v>27</v>
      </c>
      <c r="H434">
        <v>1965</v>
      </c>
      <c r="I434" s="1" t="s">
        <v>13</v>
      </c>
      <c r="J434" s="1" t="s">
        <v>18</v>
      </c>
      <c r="K434" s="1" t="s">
        <v>42</v>
      </c>
    </row>
    <row r="435" spans="1:12" x14ac:dyDescent="0.35">
      <c r="A435" t="s">
        <v>472</v>
      </c>
      <c r="B435" s="1" t="s">
        <v>473</v>
      </c>
      <c r="C435" t="str">
        <f t="shared" si="32"/>
        <v>2020/05/11</v>
      </c>
      <c r="D435" s="4">
        <f t="shared" si="28"/>
        <v>43962</v>
      </c>
      <c r="E435" s="4">
        <f t="shared" si="29"/>
        <v>45351</v>
      </c>
      <c r="F435" t="str">
        <f t="shared" si="33"/>
        <v>2024/02/29</v>
      </c>
      <c r="G435" s="1" t="s">
        <v>27</v>
      </c>
      <c r="H435">
        <v>1962</v>
      </c>
      <c r="I435" s="1" t="s">
        <v>124</v>
      </c>
      <c r="K435" s="1" t="s">
        <v>42</v>
      </c>
    </row>
    <row r="436" spans="1:12" x14ac:dyDescent="0.35">
      <c r="A436" t="s">
        <v>474</v>
      </c>
      <c r="B436" s="1" t="s">
        <v>475</v>
      </c>
      <c r="C436" t="str">
        <f t="shared" si="32"/>
        <v>2020/05/11</v>
      </c>
      <c r="D436" s="4">
        <f t="shared" si="28"/>
        <v>43962</v>
      </c>
      <c r="E436" s="4">
        <f t="shared" si="29"/>
        <v>45351</v>
      </c>
      <c r="F436" t="str">
        <f t="shared" si="33"/>
        <v>2024/02/29</v>
      </c>
      <c r="G436" s="1" t="s">
        <v>27</v>
      </c>
      <c r="H436">
        <v>1943</v>
      </c>
      <c r="I436" s="1" t="s">
        <v>124</v>
      </c>
      <c r="K436" s="1" t="s">
        <v>42</v>
      </c>
    </row>
    <row r="437" spans="1:12" x14ac:dyDescent="0.35">
      <c r="A437" t="s">
        <v>478</v>
      </c>
      <c r="B437" s="1" t="s">
        <v>479</v>
      </c>
      <c r="C437" t="str">
        <f t="shared" si="32"/>
        <v>2020/05/11</v>
      </c>
      <c r="D437" s="4">
        <f t="shared" si="28"/>
        <v>43962</v>
      </c>
      <c r="E437" s="4">
        <f t="shared" si="29"/>
        <v>45351</v>
      </c>
      <c r="F437" t="str">
        <f t="shared" si="33"/>
        <v>2024/02/29</v>
      </c>
      <c r="G437" s="1" t="s">
        <v>27</v>
      </c>
      <c r="H437">
        <v>1949</v>
      </c>
      <c r="I437" s="1" t="s">
        <v>124</v>
      </c>
      <c r="K437" s="1" t="s">
        <v>42</v>
      </c>
    </row>
    <row r="438" spans="1:12" x14ac:dyDescent="0.35">
      <c r="A438" t="s">
        <v>484</v>
      </c>
      <c r="B438" s="1" t="s">
        <v>485</v>
      </c>
      <c r="C438" t="str">
        <f t="shared" si="32"/>
        <v>2020/05/11</v>
      </c>
      <c r="D438" s="4">
        <f t="shared" si="28"/>
        <v>43962</v>
      </c>
      <c r="E438" s="4">
        <f t="shared" si="29"/>
        <v>45351</v>
      </c>
      <c r="F438" t="str">
        <f t="shared" si="33"/>
        <v>2024/02/29</v>
      </c>
      <c r="G438" s="1" t="s">
        <v>27</v>
      </c>
      <c r="H438">
        <v>1960</v>
      </c>
      <c r="I438" s="1" t="s">
        <v>13</v>
      </c>
      <c r="K438" s="1" t="s">
        <v>418</v>
      </c>
    </row>
    <row r="439" spans="1:12" x14ac:dyDescent="0.35">
      <c r="A439" t="s">
        <v>488</v>
      </c>
      <c r="B439" s="1" t="s">
        <v>489</v>
      </c>
      <c r="C439" t="str">
        <f t="shared" si="32"/>
        <v>2020/05/11</v>
      </c>
      <c r="D439" s="4">
        <f t="shared" si="28"/>
        <v>43962</v>
      </c>
      <c r="E439" s="4">
        <f t="shared" si="29"/>
        <v>45351</v>
      </c>
      <c r="F439" t="str">
        <f t="shared" si="33"/>
        <v>2024/02/29</v>
      </c>
      <c r="G439" s="1" t="s">
        <v>27</v>
      </c>
      <c r="H439">
        <v>1964</v>
      </c>
      <c r="I439" s="1" t="s">
        <v>50</v>
      </c>
      <c r="K439" s="1" t="s">
        <v>490</v>
      </c>
    </row>
    <row r="440" spans="1:12" x14ac:dyDescent="0.35">
      <c r="A440" t="s">
        <v>493</v>
      </c>
      <c r="B440" s="1" t="s">
        <v>494</v>
      </c>
      <c r="C440" t="str">
        <f t="shared" si="32"/>
        <v>2020/05/11</v>
      </c>
      <c r="D440" s="4">
        <f t="shared" si="28"/>
        <v>43962</v>
      </c>
      <c r="E440" s="4">
        <f t="shared" si="29"/>
        <v>45351</v>
      </c>
      <c r="F440" t="str">
        <f t="shared" si="33"/>
        <v>2024/02/29</v>
      </c>
      <c r="G440" s="1" t="s">
        <v>27</v>
      </c>
      <c r="H440">
        <v>1961</v>
      </c>
      <c r="I440" s="1" t="s">
        <v>41</v>
      </c>
      <c r="J440" s="1" t="s">
        <v>83</v>
      </c>
      <c r="K440" s="1" t="s">
        <v>42</v>
      </c>
    </row>
    <row r="441" spans="1:12" x14ac:dyDescent="0.35">
      <c r="A441" t="s">
        <v>1023</v>
      </c>
      <c r="B441" s="1" t="s">
        <v>1024</v>
      </c>
      <c r="C441" t="str">
        <f>"2020/04/13"</f>
        <v>2020/04/13</v>
      </c>
      <c r="D441" s="4">
        <f t="shared" si="28"/>
        <v>43934</v>
      </c>
      <c r="E441" s="4">
        <f t="shared" si="29"/>
        <v>45382</v>
      </c>
      <c r="F441" t="str">
        <f>"2024/03/31"</f>
        <v>2024/03/31</v>
      </c>
      <c r="G441" s="1" t="s">
        <v>5</v>
      </c>
      <c r="H441">
        <v>1999</v>
      </c>
      <c r="I441" s="1" t="s">
        <v>13</v>
      </c>
      <c r="K441" s="1" t="s">
        <v>1025</v>
      </c>
    </row>
    <row r="442" spans="1:12" x14ac:dyDescent="0.35">
      <c r="A442" t="s">
        <v>314</v>
      </c>
      <c r="B442" s="1" t="s">
        <v>315</v>
      </c>
      <c r="C442" t="str">
        <f>"2020/04/06"</f>
        <v>2020/04/06</v>
      </c>
      <c r="D442" s="4">
        <f t="shared" si="28"/>
        <v>43927</v>
      </c>
      <c r="E442" s="4">
        <f t="shared" si="29"/>
        <v>45352</v>
      </c>
      <c r="F442" t="str">
        <f>"2024/03/01"</f>
        <v>2024/03/01</v>
      </c>
      <c r="G442" s="1" t="s">
        <v>264</v>
      </c>
      <c r="H442">
        <v>2014</v>
      </c>
      <c r="I442" s="1" t="s">
        <v>13</v>
      </c>
      <c r="K442" s="1" t="s">
        <v>265</v>
      </c>
    </row>
    <row r="443" spans="1:12" x14ac:dyDescent="0.35">
      <c r="A443" t="s">
        <v>873</v>
      </c>
      <c r="B443" s="1" t="s">
        <v>874</v>
      </c>
      <c r="C443" t="str">
        <f>"2020/04/06"</f>
        <v>2020/04/06</v>
      </c>
      <c r="D443" s="4">
        <f t="shared" si="28"/>
        <v>43927</v>
      </c>
      <c r="E443" s="4">
        <f t="shared" si="29"/>
        <v>45352</v>
      </c>
      <c r="F443" t="str">
        <f>"2024/03/01"</f>
        <v>2024/03/01</v>
      </c>
      <c r="G443" s="1" t="s">
        <v>264</v>
      </c>
      <c r="H443">
        <v>2018</v>
      </c>
      <c r="I443" s="1" t="s">
        <v>13</v>
      </c>
      <c r="K443" s="1" t="s">
        <v>265</v>
      </c>
    </row>
    <row r="444" spans="1:12" x14ac:dyDescent="0.35">
      <c r="A444" t="s">
        <v>262</v>
      </c>
      <c r="B444" s="1" t="s">
        <v>263</v>
      </c>
      <c r="C444" t="str">
        <f>"2020/04/01"</f>
        <v>2020/04/01</v>
      </c>
      <c r="D444" s="4">
        <f t="shared" si="28"/>
        <v>43922</v>
      </c>
      <c r="E444" s="4">
        <f t="shared" si="29"/>
        <v>45352</v>
      </c>
      <c r="F444" t="str">
        <f>"2024/03/01"</f>
        <v>2024/03/01</v>
      </c>
      <c r="G444" s="1" t="s">
        <v>264</v>
      </c>
      <c r="H444">
        <v>2011</v>
      </c>
      <c r="I444" s="1" t="s">
        <v>124</v>
      </c>
      <c r="J444" s="1" t="s">
        <v>13</v>
      </c>
      <c r="K444" s="1" t="s">
        <v>265</v>
      </c>
    </row>
    <row r="445" spans="1:12" x14ac:dyDescent="0.35">
      <c r="A445" t="s">
        <v>642</v>
      </c>
      <c r="B445" s="1" t="s">
        <v>643</v>
      </c>
      <c r="C445" t="str">
        <f>"2020/03/06"</f>
        <v>2020/03/06</v>
      </c>
      <c r="D445" s="4">
        <f t="shared" si="28"/>
        <v>43896</v>
      </c>
      <c r="E445" s="4">
        <f t="shared" si="29"/>
        <v>45350</v>
      </c>
      <c r="F445" t="str">
        <f>"2024/02/28"</f>
        <v>2024/02/28</v>
      </c>
      <c r="G445" s="1" t="s">
        <v>45</v>
      </c>
      <c r="H445">
        <v>1990</v>
      </c>
      <c r="I445" s="1" t="s">
        <v>41</v>
      </c>
      <c r="J445" s="1" t="s">
        <v>124</v>
      </c>
      <c r="K445" s="1" t="s">
        <v>644</v>
      </c>
    </row>
    <row r="446" spans="1:12" x14ac:dyDescent="0.35">
      <c r="A446" t="s">
        <v>997</v>
      </c>
      <c r="B446" s="1" t="s">
        <v>998</v>
      </c>
      <c r="C446" t="str">
        <f>"2020/03/03"</f>
        <v>2020/03/03</v>
      </c>
      <c r="D446" s="4">
        <f t="shared" si="28"/>
        <v>43893</v>
      </c>
      <c r="E446" s="4">
        <f t="shared" si="29"/>
        <v>45350</v>
      </c>
      <c r="F446" t="str">
        <f>"2024/02/28"</f>
        <v>2024/02/28</v>
      </c>
      <c r="G446" s="1" t="s">
        <v>49</v>
      </c>
      <c r="H446">
        <v>2018</v>
      </c>
      <c r="I446" s="1" t="s">
        <v>117</v>
      </c>
      <c r="J446" s="1" t="s">
        <v>240</v>
      </c>
      <c r="K446" s="1" t="s">
        <v>999</v>
      </c>
      <c r="L446" s="1" t="s">
        <v>1000</v>
      </c>
    </row>
    <row r="447" spans="1:12" x14ac:dyDescent="0.35">
      <c r="A447" t="s">
        <v>935</v>
      </c>
      <c r="B447" s="1" t="s">
        <v>936</v>
      </c>
      <c r="C447" t="str">
        <f>"2020/03/01"</f>
        <v>2020/03/01</v>
      </c>
      <c r="D447" s="4">
        <f t="shared" si="28"/>
        <v>43891</v>
      </c>
      <c r="E447" s="4">
        <f t="shared" si="29"/>
        <v>45350</v>
      </c>
      <c r="F447" t="str">
        <f>"2024/02/28"</f>
        <v>2024/02/28</v>
      </c>
      <c r="G447" s="1" t="s">
        <v>36</v>
      </c>
      <c r="H447">
        <v>1989</v>
      </c>
      <c r="I447" s="1" t="s">
        <v>12</v>
      </c>
      <c r="J447" s="1" t="s">
        <v>8</v>
      </c>
      <c r="K447" s="1" t="s">
        <v>937</v>
      </c>
    </row>
    <row r="448" spans="1:12" x14ac:dyDescent="0.35">
      <c r="A448" s="5" t="s">
        <v>186</v>
      </c>
      <c r="B448" s="6" t="s">
        <v>187</v>
      </c>
      <c r="C448" s="5" t="str">
        <f>"2020/02/17"</f>
        <v>2020/02/17</v>
      </c>
      <c r="D448" s="7">
        <f t="shared" si="28"/>
        <v>43878</v>
      </c>
      <c r="E448" s="7">
        <f t="shared" si="29"/>
        <v>45199</v>
      </c>
      <c r="F448" s="5" t="str">
        <f>"2023/09/30"</f>
        <v>2023/09/30</v>
      </c>
      <c r="G448" s="6" t="s">
        <v>188</v>
      </c>
      <c r="H448" s="5">
        <v>2007</v>
      </c>
      <c r="I448" s="6" t="s">
        <v>13</v>
      </c>
      <c r="J448" s="6" t="s">
        <v>22</v>
      </c>
      <c r="K448" s="6" t="s">
        <v>189</v>
      </c>
      <c r="L448" s="6"/>
    </row>
    <row r="449" spans="1:12" x14ac:dyDescent="0.35">
      <c r="A449" s="5" t="s">
        <v>960</v>
      </c>
      <c r="B449" s="6" t="s">
        <v>961</v>
      </c>
      <c r="C449" s="5" t="str">
        <f>"2020/02/17"</f>
        <v>2020/02/17</v>
      </c>
      <c r="D449" s="7">
        <f t="shared" si="28"/>
        <v>43878</v>
      </c>
      <c r="E449" s="7">
        <f t="shared" si="29"/>
        <v>45199</v>
      </c>
      <c r="F449" s="5" t="str">
        <f>"2023/09/30"</f>
        <v>2023/09/30</v>
      </c>
      <c r="G449" s="6" t="s">
        <v>61</v>
      </c>
      <c r="H449" s="5">
        <v>2012</v>
      </c>
      <c r="I449" s="6" t="s">
        <v>117</v>
      </c>
      <c r="J449" s="6" t="s">
        <v>22</v>
      </c>
      <c r="K449" s="6" t="s">
        <v>962</v>
      </c>
      <c r="L449" s="6"/>
    </row>
    <row r="450" spans="1:12" x14ac:dyDescent="0.35">
      <c r="A450" t="s">
        <v>306</v>
      </c>
      <c r="B450" s="1" t="s">
        <v>307</v>
      </c>
      <c r="C450" t="str">
        <f>"2020/02/17"</f>
        <v>2020/02/17</v>
      </c>
      <c r="D450" s="4">
        <f t="shared" ref="D450:D513" si="34">DATEVALUE(C450)</f>
        <v>43878</v>
      </c>
      <c r="E450" s="4">
        <f t="shared" ref="E450:E513" si="35">DATEVALUE(F450)</f>
        <v>45350</v>
      </c>
      <c r="F450" t="str">
        <f>"2024/02/28"</f>
        <v>2024/02/28</v>
      </c>
      <c r="G450" s="1" t="s">
        <v>5</v>
      </c>
      <c r="H450">
        <v>1975</v>
      </c>
      <c r="I450" s="1" t="s">
        <v>7</v>
      </c>
      <c r="J450" s="1" t="s">
        <v>8</v>
      </c>
      <c r="K450" s="1" t="s">
        <v>308</v>
      </c>
    </row>
    <row r="451" spans="1:12" x14ac:dyDescent="0.35">
      <c r="A451" t="s">
        <v>309</v>
      </c>
      <c r="B451" s="1" t="s">
        <v>310</v>
      </c>
      <c r="C451" t="str">
        <f>"2020/02/14"</f>
        <v>2020/02/14</v>
      </c>
      <c r="D451" s="4">
        <f t="shared" si="34"/>
        <v>43875</v>
      </c>
      <c r="E451" s="4">
        <f t="shared" si="35"/>
        <v>45350</v>
      </c>
      <c r="F451" t="str">
        <f>"2024/02/28"</f>
        <v>2024/02/28</v>
      </c>
      <c r="G451" s="1" t="s">
        <v>5</v>
      </c>
      <c r="H451">
        <v>1974</v>
      </c>
      <c r="I451" s="1" t="s">
        <v>13</v>
      </c>
      <c r="J451" s="1" t="s">
        <v>7</v>
      </c>
      <c r="K451" s="1" t="s">
        <v>308</v>
      </c>
    </row>
    <row r="452" spans="1:12" x14ac:dyDescent="0.35">
      <c r="A452" t="s">
        <v>639</v>
      </c>
      <c r="B452" s="1" t="s">
        <v>640</v>
      </c>
      <c r="C452" t="str">
        <f>"2020/02/14"</f>
        <v>2020/02/14</v>
      </c>
      <c r="D452" s="4">
        <f t="shared" si="34"/>
        <v>43875</v>
      </c>
      <c r="E452" s="4">
        <f t="shared" si="35"/>
        <v>45350</v>
      </c>
      <c r="F452" t="str">
        <f>"2024/02/28"</f>
        <v>2024/02/28</v>
      </c>
      <c r="G452" s="1" t="s">
        <v>36</v>
      </c>
      <c r="H452">
        <v>1984</v>
      </c>
      <c r="I452" s="1" t="s">
        <v>22</v>
      </c>
      <c r="J452" s="1" t="s">
        <v>50</v>
      </c>
      <c r="K452" s="1" t="s">
        <v>641</v>
      </c>
    </row>
    <row r="453" spans="1:12" x14ac:dyDescent="0.35">
      <c r="A453" t="s">
        <v>895</v>
      </c>
      <c r="B453" s="1" t="s">
        <v>896</v>
      </c>
      <c r="C453" t="str">
        <f>"2020/02/14"</f>
        <v>2020/02/14</v>
      </c>
      <c r="D453" s="4">
        <f t="shared" si="34"/>
        <v>43875</v>
      </c>
      <c r="E453" s="4">
        <f t="shared" si="35"/>
        <v>45979</v>
      </c>
      <c r="F453" t="str">
        <f>"2025/11/18"</f>
        <v>2025/11/18</v>
      </c>
      <c r="G453" s="1" t="s">
        <v>61</v>
      </c>
      <c r="H453">
        <v>1991</v>
      </c>
      <c r="I453" s="1" t="s">
        <v>13</v>
      </c>
      <c r="J453" s="1" t="s">
        <v>117</v>
      </c>
      <c r="K453" s="1" t="s">
        <v>153</v>
      </c>
    </row>
    <row r="454" spans="1:12" x14ac:dyDescent="0.35">
      <c r="A454" t="s">
        <v>151</v>
      </c>
      <c r="B454" s="1" t="s">
        <v>152</v>
      </c>
      <c r="C454" t="str">
        <f>"2020/02/14"</f>
        <v>2020/02/14</v>
      </c>
      <c r="D454" s="4">
        <f t="shared" si="34"/>
        <v>43875</v>
      </c>
      <c r="E454" s="4">
        <f t="shared" si="35"/>
        <v>47848</v>
      </c>
      <c r="F454" t="str">
        <f>"2030/12/31"</f>
        <v>2030/12/31</v>
      </c>
      <c r="G454" s="1" t="s">
        <v>61</v>
      </c>
      <c r="H454">
        <v>1985</v>
      </c>
      <c r="I454" s="1" t="s">
        <v>13</v>
      </c>
      <c r="J454" s="1" t="s">
        <v>117</v>
      </c>
      <c r="K454" s="1" t="s">
        <v>153</v>
      </c>
    </row>
    <row r="455" spans="1:12" x14ac:dyDescent="0.35">
      <c r="A455" t="s">
        <v>178</v>
      </c>
      <c r="B455" s="1" t="s">
        <v>179</v>
      </c>
      <c r="C455" t="str">
        <f>"2020/02/14"</f>
        <v>2020/02/14</v>
      </c>
      <c r="D455" s="4">
        <f t="shared" si="34"/>
        <v>43875</v>
      </c>
      <c r="E455" s="4">
        <f t="shared" si="35"/>
        <v>47848</v>
      </c>
      <c r="F455" t="str">
        <f>"2030/12/31"</f>
        <v>2030/12/31</v>
      </c>
      <c r="G455" s="1" t="s">
        <v>61</v>
      </c>
      <c r="H455">
        <v>1993</v>
      </c>
      <c r="I455" s="1" t="s">
        <v>52</v>
      </c>
      <c r="J455" s="1" t="s">
        <v>13</v>
      </c>
      <c r="K455" s="1" t="s">
        <v>153</v>
      </c>
    </row>
    <row r="456" spans="1:12" x14ac:dyDescent="0.35">
      <c r="A456" t="s">
        <v>975</v>
      </c>
      <c r="B456" s="1" t="s">
        <v>976</v>
      </c>
      <c r="C456" t="str">
        <f>"2019/12/02"</f>
        <v>2019/12/02</v>
      </c>
      <c r="D456" s="4">
        <f t="shared" si="34"/>
        <v>43801</v>
      </c>
      <c r="E456" s="4">
        <f t="shared" si="35"/>
        <v>45230</v>
      </c>
      <c r="F456" t="str">
        <f>"2023/10/31"</f>
        <v>2023/10/31</v>
      </c>
      <c r="G456" s="1" t="s">
        <v>61</v>
      </c>
      <c r="H456">
        <v>2001</v>
      </c>
      <c r="I456" s="1" t="s">
        <v>12</v>
      </c>
      <c r="J456" s="1" t="s">
        <v>13</v>
      </c>
      <c r="K456" s="1" t="s">
        <v>977</v>
      </c>
    </row>
    <row r="457" spans="1:12" x14ac:dyDescent="0.35">
      <c r="A457" s="5" t="s">
        <v>322</v>
      </c>
      <c r="B457" s="6" t="s">
        <v>323</v>
      </c>
      <c r="C457" s="5" t="str">
        <f>"2019/11/22"</f>
        <v>2019/11/22</v>
      </c>
      <c r="D457" s="7">
        <f t="shared" si="34"/>
        <v>43791</v>
      </c>
      <c r="E457" s="7">
        <f t="shared" si="35"/>
        <v>45199</v>
      </c>
      <c r="F457" s="5" t="str">
        <f t="shared" ref="F457:F467" si="36">"2023/09/30"</f>
        <v>2023/09/30</v>
      </c>
      <c r="G457" s="6" t="s">
        <v>289</v>
      </c>
      <c r="H457" s="5">
        <v>2012</v>
      </c>
      <c r="I457" s="6" t="s">
        <v>13</v>
      </c>
      <c r="J457" s="6" t="s">
        <v>117</v>
      </c>
      <c r="K457" s="6" t="s">
        <v>324</v>
      </c>
      <c r="L457" s="6" t="s">
        <v>325</v>
      </c>
    </row>
    <row r="458" spans="1:12" x14ac:dyDescent="0.35">
      <c r="A458" s="5" t="s">
        <v>594</v>
      </c>
      <c r="B458" s="6" t="s">
        <v>595</v>
      </c>
      <c r="C458" s="5" t="str">
        <f>"2019/11/22"</f>
        <v>2019/11/22</v>
      </c>
      <c r="D458" s="7">
        <f t="shared" si="34"/>
        <v>43791</v>
      </c>
      <c r="E458" s="7">
        <f t="shared" si="35"/>
        <v>45199</v>
      </c>
      <c r="F458" s="5" t="str">
        <f t="shared" si="36"/>
        <v>2023/09/30</v>
      </c>
      <c r="G458" s="6" t="s">
        <v>5</v>
      </c>
      <c r="H458" s="5">
        <v>2016</v>
      </c>
      <c r="I458" s="6" t="s">
        <v>117</v>
      </c>
      <c r="J458" s="6" t="s">
        <v>22</v>
      </c>
      <c r="K458" s="6" t="s">
        <v>596</v>
      </c>
      <c r="L458" s="6" t="s">
        <v>597</v>
      </c>
    </row>
    <row r="459" spans="1:12" x14ac:dyDescent="0.35">
      <c r="A459" s="5" t="s">
        <v>115</v>
      </c>
      <c r="B459" s="6" t="s">
        <v>116</v>
      </c>
      <c r="C459" s="5" t="str">
        <f>"2019/11/18"</f>
        <v>2019/11/18</v>
      </c>
      <c r="D459" s="7">
        <f t="shared" si="34"/>
        <v>43787</v>
      </c>
      <c r="E459" s="7">
        <f t="shared" si="35"/>
        <v>45199</v>
      </c>
      <c r="F459" s="5" t="str">
        <f t="shared" si="36"/>
        <v>2023/09/30</v>
      </c>
      <c r="G459" s="6" t="s">
        <v>61</v>
      </c>
      <c r="H459" s="5">
        <v>2011</v>
      </c>
      <c r="I459" s="6" t="s">
        <v>13</v>
      </c>
      <c r="J459" s="6" t="s">
        <v>117</v>
      </c>
      <c r="K459" s="6" t="s">
        <v>118</v>
      </c>
      <c r="L459" s="6"/>
    </row>
    <row r="460" spans="1:12" ht="29" x14ac:dyDescent="0.35">
      <c r="A460" s="5" t="s">
        <v>393</v>
      </c>
      <c r="B460" s="6" t="s">
        <v>394</v>
      </c>
      <c r="C460" s="5" t="str">
        <f>"2019/11/18"</f>
        <v>2019/11/18</v>
      </c>
      <c r="D460" s="7">
        <f t="shared" si="34"/>
        <v>43787</v>
      </c>
      <c r="E460" s="7">
        <f t="shared" si="35"/>
        <v>45199</v>
      </c>
      <c r="F460" s="5" t="str">
        <f t="shared" si="36"/>
        <v>2023/09/30</v>
      </c>
      <c r="G460" s="6" t="s">
        <v>395</v>
      </c>
      <c r="H460" s="5">
        <v>2013</v>
      </c>
      <c r="I460" s="6" t="s">
        <v>13</v>
      </c>
      <c r="J460" s="6" t="s">
        <v>168</v>
      </c>
      <c r="K460" s="6" t="s">
        <v>396</v>
      </c>
      <c r="L460" s="6"/>
    </row>
    <row r="461" spans="1:12" x14ac:dyDescent="0.35">
      <c r="A461" s="5" t="s">
        <v>518</v>
      </c>
      <c r="B461" s="6" t="s">
        <v>519</v>
      </c>
      <c r="C461" s="5" t="str">
        <f>"2019/11/18"</f>
        <v>2019/11/18</v>
      </c>
      <c r="D461" s="7">
        <f t="shared" si="34"/>
        <v>43787</v>
      </c>
      <c r="E461" s="7">
        <f t="shared" si="35"/>
        <v>45199</v>
      </c>
      <c r="F461" s="5" t="str">
        <f t="shared" si="36"/>
        <v>2023/09/30</v>
      </c>
      <c r="G461" s="6" t="s">
        <v>61</v>
      </c>
      <c r="H461" s="5">
        <v>2015</v>
      </c>
      <c r="I461" s="6" t="s">
        <v>31</v>
      </c>
      <c r="J461" s="6" t="s">
        <v>117</v>
      </c>
      <c r="K461" s="6" t="s">
        <v>520</v>
      </c>
      <c r="L461" s="6"/>
    </row>
    <row r="462" spans="1:12" x14ac:dyDescent="0.35">
      <c r="A462" s="5" t="s">
        <v>183</v>
      </c>
      <c r="B462" s="6" t="s">
        <v>184</v>
      </c>
      <c r="C462" s="5" t="str">
        <f>"2019/11/15"</f>
        <v>2019/11/15</v>
      </c>
      <c r="D462" s="7">
        <f t="shared" si="34"/>
        <v>43784</v>
      </c>
      <c r="E462" s="7">
        <f t="shared" si="35"/>
        <v>45199</v>
      </c>
      <c r="F462" s="5" t="str">
        <f t="shared" si="36"/>
        <v>2023/09/30</v>
      </c>
      <c r="G462" s="6" t="s">
        <v>5</v>
      </c>
      <c r="H462" s="5">
        <v>2013</v>
      </c>
      <c r="I462" s="6" t="s">
        <v>117</v>
      </c>
      <c r="J462" s="6" t="s">
        <v>37</v>
      </c>
      <c r="K462" s="6" t="s">
        <v>185</v>
      </c>
      <c r="L462" s="6"/>
    </row>
    <row r="463" spans="1:12" x14ac:dyDescent="0.35">
      <c r="A463" s="5" t="s">
        <v>620</v>
      </c>
      <c r="B463" s="6" t="s">
        <v>621</v>
      </c>
      <c r="C463" s="5" t="str">
        <f>"2019/11/15"</f>
        <v>2019/11/15</v>
      </c>
      <c r="D463" s="7">
        <f t="shared" si="34"/>
        <v>43784</v>
      </c>
      <c r="E463" s="7">
        <f t="shared" si="35"/>
        <v>45199</v>
      </c>
      <c r="F463" s="5" t="str">
        <f t="shared" si="36"/>
        <v>2023/09/30</v>
      </c>
      <c r="G463" s="6" t="s">
        <v>622</v>
      </c>
      <c r="H463" s="5">
        <v>2017</v>
      </c>
      <c r="I463" s="6" t="s">
        <v>52</v>
      </c>
      <c r="J463" s="6" t="s">
        <v>13</v>
      </c>
      <c r="K463" s="6" t="s">
        <v>623</v>
      </c>
      <c r="L463" s="6"/>
    </row>
    <row r="464" spans="1:12" x14ac:dyDescent="0.35">
      <c r="A464" s="5" t="s">
        <v>319</v>
      </c>
      <c r="B464" s="6" t="s">
        <v>320</v>
      </c>
      <c r="C464" s="5" t="str">
        <f>"2019/11/12"</f>
        <v>2019/11/12</v>
      </c>
      <c r="D464" s="7">
        <f t="shared" si="34"/>
        <v>43781</v>
      </c>
      <c r="E464" s="7">
        <f t="shared" si="35"/>
        <v>45199</v>
      </c>
      <c r="F464" s="5" t="str">
        <f t="shared" si="36"/>
        <v>2023/09/30</v>
      </c>
      <c r="G464" s="6" t="s">
        <v>5</v>
      </c>
      <c r="H464" s="5">
        <v>2013</v>
      </c>
      <c r="I464" s="6" t="s">
        <v>13</v>
      </c>
      <c r="J464" s="6" t="s">
        <v>117</v>
      </c>
      <c r="K464" s="6" t="s">
        <v>321</v>
      </c>
      <c r="L464" s="6"/>
    </row>
    <row r="465" spans="1:12" x14ac:dyDescent="0.35">
      <c r="A465" s="5" t="s">
        <v>326</v>
      </c>
      <c r="B465" s="6" t="s">
        <v>327</v>
      </c>
      <c r="C465" s="5" t="str">
        <f>"2019/11/12"</f>
        <v>2019/11/12</v>
      </c>
      <c r="D465" s="7">
        <f t="shared" si="34"/>
        <v>43781</v>
      </c>
      <c r="E465" s="7">
        <f t="shared" si="35"/>
        <v>45199</v>
      </c>
      <c r="F465" s="5" t="str">
        <f t="shared" si="36"/>
        <v>2023/09/30</v>
      </c>
      <c r="G465" s="6" t="s">
        <v>328</v>
      </c>
      <c r="H465" s="5">
        <v>2013</v>
      </c>
      <c r="I465" s="6" t="s">
        <v>52</v>
      </c>
      <c r="J465" s="6" t="s">
        <v>117</v>
      </c>
      <c r="K465" s="6" t="s">
        <v>329</v>
      </c>
      <c r="L465" s="6"/>
    </row>
    <row r="466" spans="1:12" x14ac:dyDescent="0.35">
      <c r="A466" s="5" t="s">
        <v>535</v>
      </c>
      <c r="B466" s="6" t="s">
        <v>536</v>
      </c>
      <c r="C466" s="5" t="str">
        <f>"2019/11/12"</f>
        <v>2019/11/12</v>
      </c>
      <c r="D466" s="7">
        <f t="shared" si="34"/>
        <v>43781</v>
      </c>
      <c r="E466" s="7">
        <f t="shared" si="35"/>
        <v>45199</v>
      </c>
      <c r="F466" s="5" t="str">
        <f t="shared" si="36"/>
        <v>2023/09/30</v>
      </c>
      <c r="G466" s="6" t="s">
        <v>36</v>
      </c>
      <c r="H466" s="5">
        <v>2015</v>
      </c>
      <c r="I466" s="6" t="s">
        <v>31</v>
      </c>
      <c r="J466" s="6" t="s">
        <v>117</v>
      </c>
      <c r="K466" s="6" t="s">
        <v>537</v>
      </c>
      <c r="L466" s="6" t="s">
        <v>538</v>
      </c>
    </row>
    <row r="467" spans="1:12" x14ac:dyDescent="0.35">
      <c r="A467" s="5" t="s">
        <v>339</v>
      </c>
      <c r="B467" s="6" t="s">
        <v>340</v>
      </c>
      <c r="C467" s="5" t="str">
        <f>"2019/10/08"</f>
        <v>2019/10/08</v>
      </c>
      <c r="D467" s="7">
        <f t="shared" si="34"/>
        <v>43746</v>
      </c>
      <c r="E467" s="7">
        <f t="shared" si="35"/>
        <v>45199</v>
      </c>
      <c r="F467" s="5" t="str">
        <f t="shared" si="36"/>
        <v>2023/09/30</v>
      </c>
      <c r="G467" s="6" t="s">
        <v>61</v>
      </c>
      <c r="H467" s="5">
        <v>2015</v>
      </c>
      <c r="I467" s="6" t="s">
        <v>12</v>
      </c>
      <c r="J467" s="6" t="s">
        <v>117</v>
      </c>
      <c r="K467" s="6" t="s">
        <v>341</v>
      </c>
      <c r="L467" s="6"/>
    </row>
    <row r="468" spans="1:12" x14ac:dyDescent="0.35">
      <c r="A468" t="s">
        <v>768</v>
      </c>
      <c r="B468" s="1" t="s">
        <v>769</v>
      </c>
      <c r="C468" t="str">
        <f>"2019/09/09"</f>
        <v>2019/09/09</v>
      </c>
      <c r="D468" s="4">
        <f t="shared" si="34"/>
        <v>43717</v>
      </c>
      <c r="E468" s="4">
        <f t="shared" si="35"/>
        <v>45350</v>
      </c>
      <c r="F468" t="str">
        <f>"2024/02/28"</f>
        <v>2024/02/28</v>
      </c>
      <c r="G468" s="1" t="s">
        <v>27</v>
      </c>
      <c r="H468">
        <v>2001</v>
      </c>
      <c r="I468" s="1" t="s">
        <v>8</v>
      </c>
      <c r="K468" s="1" t="s">
        <v>770</v>
      </c>
    </row>
    <row r="469" spans="1:12" x14ac:dyDescent="0.35">
      <c r="A469" t="s">
        <v>797</v>
      </c>
      <c r="B469" s="1" t="s">
        <v>798</v>
      </c>
      <c r="C469" t="str">
        <f>"2019/06/19"</f>
        <v>2019/06/19</v>
      </c>
      <c r="D469" s="4">
        <f t="shared" si="34"/>
        <v>43635</v>
      </c>
      <c r="E469" s="4">
        <f t="shared" si="35"/>
        <v>45382</v>
      </c>
      <c r="F469" t="str">
        <f>"2024/03/31"</f>
        <v>2024/03/31</v>
      </c>
      <c r="G469" s="1" t="s">
        <v>799</v>
      </c>
      <c r="H469">
        <v>1989</v>
      </c>
      <c r="I469" s="1" t="s">
        <v>13</v>
      </c>
      <c r="K469" s="1" t="s">
        <v>800</v>
      </c>
    </row>
    <row r="470" spans="1:12" x14ac:dyDescent="0.35">
      <c r="A470" s="5" t="s">
        <v>903</v>
      </c>
      <c r="B470" s="6" t="s">
        <v>904</v>
      </c>
      <c r="C470" s="5" t="str">
        <f>"2019/06/05"</f>
        <v>2019/06/05</v>
      </c>
      <c r="D470" s="7">
        <f t="shared" si="34"/>
        <v>43621</v>
      </c>
      <c r="E470" s="7">
        <f t="shared" si="35"/>
        <v>45199</v>
      </c>
      <c r="F470" s="5" t="str">
        <f>"2023/09/30"</f>
        <v>2023/09/30</v>
      </c>
      <c r="G470" s="6" t="s">
        <v>27</v>
      </c>
      <c r="H470" s="5">
        <v>2015</v>
      </c>
      <c r="I470" s="6" t="s">
        <v>12</v>
      </c>
      <c r="J470" s="6" t="s">
        <v>13</v>
      </c>
      <c r="K470" s="6" t="s">
        <v>905</v>
      </c>
      <c r="L470" s="6"/>
    </row>
    <row r="471" spans="1:12" x14ac:dyDescent="0.35">
      <c r="A471" s="5" t="s">
        <v>933</v>
      </c>
      <c r="B471" s="6" t="s">
        <v>934</v>
      </c>
      <c r="C471" s="5" t="str">
        <f>"2019/05/30"</f>
        <v>2019/05/30</v>
      </c>
      <c r="D471" s="7">
        <f t="shared" si="34"/>
        <v>43615</v>
      </c>
      <c r="E471" s="7">
        <f t="shared" si="35"/>
        <v>45199</v>
      </c>
      <c r="F471" s="5" t="str">
        <f>"2023/09/30"</f>
        <v>2023/09/30</v>
      </c>
      <c r="G471" s="6" t="s">
        <v>87</v>
      </c>
      <c r="H471" s="5">
        <v>1930</v>
      </c>
      <c r="I471" s="6" t="s">
        <v>6</v>
      </c>
      <c r="J471" s="6" t="s">
        <v>13</v>
      </c>
      <c r="K471" s="6" t="s">
        <v>834</v>
      </c>
      <c r="L471" s="6"/>
    </row>
    <row r="472" spans="1:12" x14ac:dyDescent="0.35">
      <c r="A472" s="5" t="s">
        <v>911</v>
      </c>
      <c r="B472" s="6" t="s">
        <v>912</v>
      </c>
      <c r="C472" s="5" t="str">
        <f>"2019/05/16"</f>
        <v>2019/05/16</v>
      </c>
      <c r="D472" s="7">
        <f t="shared" si="34"/>
        <v>43601</v>
      </c>
      <c r="E472" s="7">
        <f t="shared" si="35"/>
        <v>45199</v>
      </c>
      <c r="F472" s="5" t="str">
        <f>"2023/09/30"</f>
        <v>2023/09/30</v>
      </c>
      <c r="G472" s="6" t="s">
        <v>87</v>
      </c>
      <c r="H472" s="5">
        <v>1919</v>
      </c>
      <c r="I472" s="6" t="s">
        <v>6</v>
      </c>
      <c r="J472" s="6" t="s">
        <v>7</v>
      </c>
      <c r="K472" s="6" t="s">
        <v>913</v>
      </c>
      <c r="L472" s="6"/>
    </row>
    <row r="473" spans="1:12" x14ac:dyDescent="0.35">
      <c r="A473" t="s">
        <v>826</v>
      </c>
      <c r="B473" s="1" t="s">
        <v>827</v>
      </c>
      <c r="C473" t="str">
        <f>"2019/04/17"</f>
        <v>2019/04/17</v>
      </c>
      <c r="D473" s="4">
        <f t="shared" si="34"/>
        <v>43572</v>
      </c>
      <c r="E473" s="4">
        <f t="shared" si="35"/>
        <v>45352</v>
      </c>
      <c r="F473" t="str">
        <f>"2024/03/01"</f>
        <v>2024/03/01</v>
      </c>
      <c r="G473" s="1" t="s">
        <v>214</v>
      </c>
      <c r="H473">
        <v>2016</v>
      </c>
      <c r="I473" s="1" t="s">
        <v>13</v>
      </c>
      <c r="J473" s="1" t="s">
        <v>125</v>
      </c>
      <c r="K473" s="1" t="s">
        <v>828</v>
      </c>
    </row>
    <row r="474" spans="1:12" x14ac:dyDescent="0.35">
      <c r="A474" t="s">
        <v>914</v>
      </c>
      <c r="B474" s="1" t="s">
        <v>915</v>
      </c>
      <c r="C474" t="str">
        <f>"2019/04/08"</f>
        <v>2019/04/08</v>
      </c>
      <c r="D474" s="4">
        <f t="shared" si="34"/>
        <v>43563</v>
      </c>
      <c r="E474" s="4">
        <f t="shared" si="35"/>
        <v>45350</v>
      </c>
      <c r="F474" t="str">
        <f>"2024/02/28"</f>
        <v>2024/02/28</v>
      </c>
      <c r="G474" s="1" t="s">
        <v>5</v>
      </c>
      <c r="H474">
        <v>1967</v>
      </c>
      <c r="I474" s="1" t="s">
        <v>6</v>
      </c>
      <c r="J474" s="1" t="s">
        <v>13</v>
      </c>
      <c r="K474" s="1" t="s">
        <v>543</v>
      </c>
    </row>
    <row r="475" spans="1:12" x14ac:dyDescent="0.35">
      <c r="A475" t="s">
        <v>801</v>
      </c>
      <c r="B475" s="1" t="s">
        <v>802</v>
      </c>
      <c r="C475" t="str">
        <f>"2019/02/27"</f>
        <v>2019/02/27</v>
      </c>
      <c r="D475" s="4">
        <f t="shared" si="34"/>
        <v>43523</v>
      </c>
      <c r="E475" s="4">
        <f t="shared" si="35"/>
        <v>45382</v>
      </c>
      <c r="F475" t="str">
        <f t="shared" ref="F475:F480" si="37">"2024/03/31"</f>
        <v>2024/03/31</v>
      </c>
      <c r="G475" s="1" t="s">
        <v>796</v>
      </c>
      <c r="H475">
        <v>1969</v>
      </c>
      <c r="I475" s="1" t="s">
        <v>13</v>
      </c>
      <c r="K475" s="1" t="s">
        <v>803</v>
      </c>
    </row>
    <row r="476" spans="1:12" x14ac:dyDescent="0.35">
      <c r="A476" t="s">
        <v>809</v>
      </c>
      <c r="B476" s="1" t="s">
        <v>810</v>
      </c>
      <c r="C476" t="str">
        <f>"2019/02/27"</f>
        <v>2019/02/27</v>
      </c>
      <c r="D476" s="4">
        <f t="shared" si="34"/>
        <v>43523</v>
      </c>
      <c r="E476" s="4">
        <f t="shared" si="35"/>
        <v>45382</v>
      </c>
      <c r="F476" t="str">
        <f t="shared" si="37"/>
        <v>2024/03/31</v>
      </c>
      <c r="G476" s="1" t="s">
        <v>796</v>
      </c>
      <c r="H476">
        <v>1963</v>
      </c>
      <c r="I476" s="1" t="s">
        <v>13</v>
      </c>
      <c r="K476" s="1" t="s">
        <v>803</v>
      </c>
    </row>
    <row r="477" spans="1:12" x14ac:dyDescent="0.35">
      <c r="A477" t="s">
        <v>811</v>
      </c>
      <c r="B477" s="1" t="s">
        <v>812</v>
      </c>
      <c r="C477" t="str">
        <f>"2019/02/27"</f>
        <v>2019/02/27</v>
      </c>
      <c r="D477" s="4">
        <f t="shared" si="34"/>
        <v>43523</v>
      </c>
      <c r="E477" s="4">
        <f t="shared" si="35"/>
        <v>45382</v>
      </c>
      <c r="F477" t="str">
        <f t="shared" si="37"/>
        <v>2024/03/31</v>
      </c>
      <c r="G477" s="1" t="s">
        <v>796</v>
      </c>
      <c r="H477">
        <v>1962</v>
      </c>
      <c r="I477" s="1" t="s">
        <v>31</v>
      </c>
      <c r="J477" s="1" t="s">
        <v>13</v>
      </c>
      <c r="K477" s="1" t="s">
        <v>803</v>
      </c>
    </row>
    <row r="478" spans="1:12" x14ac:dyDescent="0.35">
      <c r="A478" t="s">
        <v>813</v>
      </c>
      <c r="B478" s="1" t="s">
        <v>814</v>
      </c>
      <c r="C478" t="str">
        <f>"2019/02/27"</f>
        <v>2019/02/27</v>
      </c>
      <c r="D478" s="4">
        <f t="shared" si="34"/>
        <v>43523</v>
      </c>
      <c r="E478" s="4">
        <f t="shared" si="35"/>
        <v>45382</v>
      </c>
      <c r="F478" t="str">
        <f t="shared" si="37"/>
        <v>2024/03/31</v>
      </c>
      <c r="G478" s="1" t="s">
        <v>815</v>
      </c>
      <c r="H478">
        <v>1998</v>
      </c>
      <c r="I478" s="1" t="s">
        <v>12</v>
      </c>
      <c r="J478" s="1" t="s">
        <v>124</v>
      </c>
      <c r="K478" s="1" t="s">
        <v>803</v>
      </c>
    </row>
    <row r="479" spans="1:12" x14ac:dyDescent="0.35">
      <c r="A479" t="s">
        <v>864</v>
      </c>
      <c r="B479" s="1" t="s">
        <v>865</v>
      </c>
      <c r="C479" t="str">
        <f>"2019/02/18"</f>
        <v>2019/02/18</v>
      </c>
      <c r="D479" s="4">
        <f t="shared" si="34"/>
        <v>43514</v>
      </c>
      <c r="E479" s="4">
        <f t="shared" si="35"/>
        <v>45382</v>
      </c>
      <c r="F479" t="str">
        <f t="shared" si="37"/>
        <v>2024/03/31</v>
      </c>
      <c r="G479" s="1" t="s">
        <v>36</v>
      </c>
      <c r="H479">
        <v>2008</v>
      </c>
      <c r="I479" s="1" t="s">
        <v>13</v>
      </c>
      <c r="J479" s="1" t="s">
        <v>50</v>
      </c>
      <c r="K479" s="1" t="s">
        <v>866</v>
      </c>
    </row>
    <row r="480" spans="1:12" x14ac:dyDescent="0.35">
      <c r="A480" t="s">
        <v>867</v>
      </c>
      <c r="B480" s="1" t="s">
        <v>868</v>
      </c>
      <c r="C480" t="str">
        <f>"2019/02/18"</f>
        <v>2019/02/18</v>
      </c>
      <c r="D480" s="4">
        <f t="shared" si="34"/>
        <v>43514</v>
      </c>
      <c r="E480" s="4">
        <f t="shared" si="35"/>
        <v>45382</v>
      </c>
      <c r="F480" t="str">
        <f t="shared" si="37"/>
        <v>2024/03/31</v>
      </c>
      <c r="G480" s="1" t="s">
        <v>45</v>
      </c>
      <c r="H480">
        <v>1969</v>
      </c>
      <c r="I480" s="1" t="s">
        <v>7</v>
      </c>
      <c r="J480" s="1" t="s">
        <v>50</v>
      </c>
      <c r="K480" s="1" t="s">
        <v>869</v>
      </c>
    </row>
    <row r="481" spans="1:12" ht="29" x14ac:dyDescent="0.35">
      <c r="A481" t="s">
        <v>180</v>
      </c>
      <c r="B481" s="1" t="s">
        <v>181</v>
      </c>
      <c r="C481" t="str">
        <f>"2019/02/18"</f>
        <v>2019/02/18</v>
      </c>
      <c r="D481" s="4">
        <f t="shared" si="34"/>
        <v>43514</v>
      </c>
      <c r="E481" s="4">
        <f t="shared" si="35"/>
        <v>50041</v>
      </c>
      <c r="F481" t="str">
        <f>"2037/01/01"</f>
        <v>2037/01/01</v>
      </c>
      <c r="G481" s="1" t="s">
        <v>61</v>
      </c>
      <c r="H481">
        <v>1998</v>
      </c>
      <c r="I481" s="1" t="s">
        <v>52</v>
      </c>
      <c r="J481" s="1" t="s">
        <v>13</v>
      </c>
      <c r="K481" s="1" t="s">
        <v>182</v>
      </c>
    </row>
    <row r="482" spans="1:12" x14ac:dyDescent="0.35">
      <c r="A482" t="s">
        <v>295</v>
      </c>
      <c r="B482" s="1" t="s">
        <v>296</v>
      </c>
      <c r="C482" t="str">
        <f>"2019/02/14"</f>
        <v>2019/02/14</v>
      </c>
      <c r="D482" s="4">
        <f t="shared" si="34"/>
        <v>43510</v>
      </c>
      <c r="E482" s="4">
        <f t="shared" si="35"/>
        <v>45382</v>
      </c>
      <c r="F482" t="str">
        <f>"2024/03/31"</f>
        <v>2024/03/31</v>
      </c>
      <c r="G482" s="1" t="s">
        <v>45</v>
      </c>
      <c r="H482">
        <v>1966</v>
      </c>
      <c r="I482" s="1" t="s">
        <v>13</v>
      </c>
      <c r="J482" s="1" t="s">
        <v>50</v>
      </c>
      <c r="K482" s="1" t="s">
        <v>297</v>
      </c>
    </row>
    <row r="483" spans="1:12" ht="29" x14ac:dyDescent="0.35">
      <c r="A483" t="s">
        <v>876</v>
      </c>
      <c r="B483" s="1" t="s">
        <v>877</v>
      </c>
      <c r="C483" t="str">
        <f>"2019/02/14"</f>
        <v>2019/02/14</v>
      </c>
      <c r="D483" s="4">
        <f t="shared" si="34"/>
        <v>43510</v>
      </c>
      <c r="E483" s="4">
        <f t="shared" si="35"/>
        <v>72686</v>
      </c>
      <c r="F483" t="str">
        <f>"2099/01/01"</f>
        <v>2099/01/01</v>
      </c>
      <c r="G483" s="1" t="s">
        <v>45</v>
      </c>
      <c r="H483">
        <v>1960</v>
      </c>
      <c r="I483" s="1" t="s">
        <v>6</v>
      </c>
      <c r="J483" s="1" t="s">
        <v>13</v>
      </c>
      <c r="K483" s="1" t="s">
        <v>844</v>
      </c>
    </row>
    <row r="484" spans="1:12" x14ac:dyDescent="0.35">
      <c r="A484" s="5" t="s">
        <v>860</v>
      </c>
      <c r="B484" s="6" t="s">
        <v>861</v>
      </c>
      <c r="C484" s="5" t="str">
        <f>"2019/02/08"</f>
        <v>2019/02/08</v>
      </c>
      <c r="D484" s="7">
        <f t="shared" si="34"/>
        <v>43504</v>
      </c>
      <c r="E484" s="7">
        <f t="shared" si="35"/>
        <v>45017</v>
      </c>
      <c r="F484" s="5" t="str">
        <f>"2023/04/01"</f>
        <v>2023/04/01</v>
      </c>
      <c r="G484" s="6" t="s">
        <v>45</v>
      </c>
      <c r="H484" s="5">
        <v>1977</v>
      </c>
      <c r="I484" s="6" t="s">
        <v>13</v>
      </c>
      <c r="J484" s="6"/>
      <c r="K484" s="6" t="s">
        <v>862</v>
      </c>
      <c r="L484" s="6"/>
    </row>
    <row r="485" spans="1:12" x14ac:dyDescent="0.35">
      <c r="A485" t="s">
        <v>300</v>
      </c>
      <c r="B485" s="1" t="s">
        <v>301</v>
      </c>
      <c r="C485" t="str">
        <f>"2019/02/08"</f>
        <v>2019/02/08</v>
      </c>
      <c r="D485" s="4">
        <f t="shared" si="34"/>
        <v>43504</v>
      </c>
      <c r="E485" s="4">
        <f t="shared" si="35"/>
        <v>45382</v>
      </c>
      <c r="F485" t="str">
        <f>"2024/03/31"</f>
        <v>2024/03/31</v>
      </c>
      <c r="G485" s="1" t="s">
        <v>45</v>
      </c>
      <c r="H485">
        <v>1976</v>
      </c>
      <c r="I485" s="1" t="s">
        <v>13</v>
      </c>
      <c r="J485" s="1" t="s">
        <v>18</v>
      </c>
      <c r="K485" s="1" t="s">
        <v>302</v>
      </c>
    </row>
    <row r="486" spans="1:12" ht="29" x14ac:dyDescent="0.35">
      <c r="A486" s="5" t="s">
        <v>842</v>
      </c>
      <c r="B486" s="6" t="s">
        <v>843</v>
      </c>
      <c r="C486" s="5" t="str">
        <f>"2018/12/18"</f>
        <v>2018/12/18</v>
      </c>
      <c r="D486" s="7">
        <f t="shared" si="34"/>
        <v>43452</v>
      </c>
      <c r="E486" s="7">
        <f t="shared" si="35"/>
        <v>45199</v>
      </c>
      <c r="F486" s="5" t="str">
        <f>"2023/09/30"</f>
        <v>2023/09/30</v>
      </c>
      <c r="G486" s="6" t="s">
        <v>45</v>
      </c>
      <c r="H486" s="5">
        <v>1961</v>
      </c>
      <c r="I486" s="6" t="s">
        <v>6</v>
      </c>
      <c r="J486" s="6" t="s">
        <v>13</v>
      </c>
      <c r="K486" s="6" t="s">
        <v>844</v>
      </c>
      <c r="L486" s="6"/>
    </row>
    <row r="487" spans="1:12" x14ac:dyDescent="0.35">
      <c r="A487" t="s">
        <v>820</v>
      </c>
      <c r="B487" s="1" t="s">
        <v>821</v>
      </c>
      <c r="C487" t="str">
        <f>"2018/12/13"</f>
        <v>2018/12/13</v>
      </c>
      <c r="D487" s="4">
        <f t="shared" si="34"/>
        <v>43447</v>
      </c>
      <c r="E487" s="4">
        <f t="shared" si="35"/>
        <v>45352</v>
      </c>
      <c r="F487" t="str">
        <f>"2024/03/01"</f>
        <v>2024/03/01</v>
      </c>
      <c r="G487" s="1" t="s">
        <v>36</v>
      </c>
      <c r="H487">
        <v>2010</v>
      </c>
      <c r="I487" s="1" t="s">
        <v>13</v>
      </c>
      <c r="J487" s="1" t="s">
        <v>50</v>
      </c>
      <c r="K487" s="1" t="s">
        <v>822</v>
      </c>
    </row>
    <row r="488" spans="1:12" x14ac:dyDescent="0.35">
      <c r="A488" s="5" t="s">
        <v>838</v>
      </c>
      <c r="B488" s="6" t="s">
        <v>839</v>
      </c>
      <c r="C488" s="5" t="str">
        <f>"2018/11/29"</f>
        <v>2018/11/29</v>
      </c>
      <c r="D488" s="7">
        <f t="shared" si="34"/>
        <v>43433</v>
      </c>
      <c r="E488" s="7">
        <f t="shared" si="35"/>
        <v>45199</v>
      </c>
      <c r="F488" s="5" t="str">
        <f>"2023/09/30"</f>
        <v>2023/09/30</v>
      </c>
      <c r="G488" s="6" t="s">
        <v>36</v>
      </c>
      <c r="H488" s="5">
        <v>1926</v>
      </c>
      <c r="I488" s="6" t="s">
        <v>6</v>
      </c>
      <c r="J488" s="6" t="s">
        <v>12</v>
      </c>
      <c r="K488" s="6" t="s">
        <v>840</v>
      </c>
      <c r="L488" s="6" t="s">
        <v>841</v>
      </c>
    </row>
    <row r="489" spans="1:12" x14ac:dyDescent="0.35">
      <c r="A489" s="5" t="s">
        <v>845</v>
      </c>
      <c r="B489" s="6" t="s">
        <v>846</v>
      </c>
      <c r="C489" s="5" t="str">
        <f>"2018/11/29"</f>
        <v>2018/11/29</v>
      </c>
      <c r="D489" s="7">
        <f t="shared" si="34"/>
        <v>43433</v>
      </c>
      <c r="E489" s="7">
        <f t="shared" si="35"/>
        <v>45199</v>
      </c>
      <c r="F489" s="5" t="str">
        <f>"2023/09/30"</f>
        <v>2023/09/30</v>
      </c>
      <c r="G489" s="6" t="s">
        <v>36</v>
      </c>
      <c r="H489" s="5">
        <v>1928</v>
      </c>
      <c r="I489" s="6" t="s">
        <v>12</v>
      </c>
      <c r="J489" s="6"/>
      <c r="K489" s="6" t="s">
        <v>847</v>
      </c>
      <c r="L489" s="6"/>
    </row>
    <row r="490" spans="1:12" x14ac:dyDescent="0.35">
      <c r="A490" s="5" t="s">
        <v>848</v>
      </c>
      <c r="B490" s="6" t="s">
        <v>849</v>
      </c>
      <c r="C490" s="5" t="str">
        <f>"2018/11/29"</f>
        <v>2018/11/29</v>
      </c>
      <c r="D490" s="7">
        <f t="shared" si="34"/>
        <v>43433</v>
      </c>
      <c r="E490" s="7">
        <f t="shared" si="35"/>
        <v>45199</v>
      </c>
      <c r="F490" s="5" t="str">
        <f>"2023/09/30"</f>
        <v>2023/09/30</v>
      </c>
      <c r="G490" s="6" t="s">
        <v>36</v>
      </c>
      <c r="H490" s="5">
        <v>1924</v>
      </c>
      <c r="I490" s="6" t="s">
        <v>12</v>
      </c>
      <c r="J490" s="6"/>
      <c r="K490" s="6" t="s">
        <v>840</v>
      </c>
      <c r="L490" s="6"/>
    </row>
    <row r="491" spans="1:12" x14ac:dyDescent="0.35">
      <c r="A491" t="s">
        <v>43</v>
      </c>
      <c r="B491" s="1" t="s">
        <v>44</v>
      </c>
      <c r="C491" t="str">
        <f>"2018/11/29"</f>
        <v>2018/11/29</v>
      </c>
      <c r="D491" s="4">
        <f t="shared" si="34"/>
        <v>43433</v>
      </c>
      <c r="E491" s="4">
        <f t="shared" si="35"/>
        <v>45382</v>
      </c>
      <c r="F491" t="str">
        <f>"2024/03/31"</f>
        <v>2024/03/31</v>
      </c>
      <c r="G491" s="1" t="s">
        <v>45</v>
      </c>
      <c r="H491">
        <v>1963</v>
      </c>
      <c r="I491" s="1" t="s">
        <v>6</v>
      </c>
      <c r="J491" s="1" t="s">
        <v>13</v>
      </c>
      <c r="K491" s="1" t="s">
        <v>46</v>
      </c>
    </row>
    <row r="492" spans="1:12" x14ac:dyDescent="0.35">
      <c r="A492" t="s">
        <v>823</v>
      </c>
      <c r="B492" s="1" t="s">
        <v>824</v>
      </c>
      <c r="C492" t="str">
        <f>"2018/10/22"</f>
        <v>2018/10/22</v>
      </c>
      <c r="D492" s="4">
        <f t="shared" si="34"/>
        <v>43395</v>
      </c>
      <c r="E492" s="4">
        <f t="shared" si="35"/>
        <v>45352</v>
      </c>
      <c r="F492" t="str">
        <f>"2024/03/01"</f>
        <v>2024/03/01</v>
      </c>
      <c r="G492" s="1" t="s">
        <v>5</v>
      </c>
      <c r="H492">
        <v>2004</v>
      </c>
      <c r="I492" s="1" t="s">
        <v>12</v>
      </c>
      <c r="J492" s="1" t="s">
        <v>705</v>
      </c>
      <c r="K492" s="1" t="s">
        <v>825</v>
      </c>
    </row>
    <row r="493" spans="1:12" x14ac:dyDescent="0.35">
      <c r="A493" t="s">
        <v>804</v>
      </c>
      <c r="B493" s="1" t="s">
        <v>805</v>
      </c>
      <c r="C493" t="str">
        <f>"2018/10/22"</f>
        <v>2018/10/22</v>
      </c>
      <c r="D493" s="4">
        <f t="shared" si="34"/>
        <v>43395</v>
      </c>
      <c r="E493" s="4">
        <f t="shared" si="35"/>
        <v>45382</v>
      </c>
      <c r="F493" t="str">
        <f>"2024/03/31"</f>
        <v>2024/03/31</v>
      </c>
      <c r="G493" s="1" t="s">
        <v>796</v>
      </c>
      <c r="H493">
        <v>1966</v>
      </c>
      <c r="I493" s="1" t="s">
        <v>6</v>
      </c>
      <c r="J493" s="1" t="s">
        <v>12</v>
      </c>
      <c r="K493" s="1" t="s">
        <v>803</v>
      </c>
    </row>
    <row r="494" spans="1:12" x14ac:dyDescent="0.35">
      <c r="A494" t="s">
        <v>806</v>
      </c>
      <c r="B494" s="1" t="s">
        <v>807</v>
      </c>
      <c r="C494" t="str">
        <f>"2018/10/22"</f>
        <v>2018/10/22</v>
      </c>
      <c r="D494" s="4">
        <f t="shared" si="34"/>
        <v>43395</v>
      </c>
      <c r="E494" s="4">
        <f t="shared" si="35"/>
        <v>45382</v>
      </c>
      <c r="F494" t="str">
        <f>"2024/03/31"</f>
        <v>2024/03/31</v>
      </c>
      <c r="G494" s="1" t="s">
        <v>796</v>
      </c>
      <c r="H494">
        <v>1968</v>
      </c>
      <c r="I494" s="1" t="s">
        <v>6</v>
      </c>
      <c r="J494" s="1" t="s">
        <v>12</v>
      </c>
      <c r="K494" s="1" t="s">
        <v>808</v>
      </c>
    </row>
    <row r="495" spans="1:12" x14ac:dyDescent="0.35">
      <c r="A495" t="s">
        <v>645</v>
      </c>
      <c r="B495" s="1" t="s">
        <v>646</v>
      </c>
      <c r="C495" t="str">
        <f>"2018/10/22"</f>
        <v>2018/10/22</v>
      </c>
      <c r="D495" s="4">
        <f t="shared" si="34"/>
        <v>43395</v>
      </c>
      <c r="E495" s="4">
        <f t="shared" si="35"/>
        <v>72686</v>
      </c>
      <c r="F495" t="str">
        <f>"2099/01/01"</f>
        <v>2099/01/01</v>
      </c>
      <c r="G495" s="1" t="s">
        <v>647</v>
      </c>
      <c r="H495">
        <v>1965</v>
      </c>
      <c r="I495" s="1" t="s">
        <v>12</v>
      </c>
      <c r="J495" s="1" t="s">
        <v>7</v>
      </c>
      <c r="K495" s="1" t="s">
        <v>648</v>
      </c>
    </row>
    <row r="496" spans="1:12" x14ac:dyDescent="0.35">
      <c r="A496" t="s">
        <v>380</v>
      </c>
      <c r="B496" s="1" t="s">
        <v>381</v>
      </c>
      <c r="C496" t="str">
        <f>"2018/10/18"</f>
        <v>2018/10/18</v>
      </c>
      <c r="D496" s="4">
        <f t="shared" si="34"/>
        <v>43391</v>
      </c>
      <c r="E496" s="4">
        <f t="shared" si="35"/>
        <v>45230</v>
      </c>
      <c r="F496" t="str">
        <f>"2023/10/31"</f>
        <v>2023/10/31</v>
      </c>
      <c r="G496" s="1" t="s">
        <v>61</v>
      </c>
      <c r="H496">
        <v>2015</v>
      </c>
      <c r="I496" s="1" t="s">
        <v>13</v>
      </c>
      <c r="J496" s="1" t="s">
        <v>37</v>
      </c>
      <c r="K496" s="1" t="s">
        <v>382</v>
      </c>
    </row>
    <row r="497" spans="1:12" x14ac:dyDescent="0.35">
      <c r="A497" t="s">
        <v>730</v>
      </c>
      <c r="B497" s="1" t="s">
        <v>731</v>
      </c>
      <c r="C497" t="str">
        <f>"2018/10/11"</f>
        <v>2018/10/11</v>
      </c>
      <c r="D497" s="4">
        <f t="shared" si="34"/>
        <v>43384</v>
      </c>
      <c r="E497" s="4">
        <f t="shared" si="35"/>
        <v>45352</v>
      </c>
      <c r="F497" t="str">
        <f>"2024/03/01"</f>
        <v>2024/03/01</v>
      </c>
      <c r="G497" s="1" t="s">
        <v>395</v>
      </c>
      <c r="H497">
        <v>2016</v>
      </c>
      <c r="I497" s="1" t="s">
        <v>124</v>
      </c>
      <c r="J497" s="1" t="s">
        <v>13</v>
      </c>
      <c r="K497" s="1" t="s">
        <v>720</v>
      </c>
    </row>
    <row r="498" spans="1:12" x14ac:dyDescent="0.35">
      <c r="A498" t="s">
        <v>726</v>
      </c>
      <c r="B498" s="1" t="s">
        <v>727</v>
      </c>
      <c r="C498" t="str">
        <f>"2018/10/01"</f>
        <v>2018/10/01</v>
      </c>
      <c r="D498" s="4">
        <f t="shared" si="34"/>
        <v>43374</v>
      </c>
      <c r="E498" s="4">
        <f t="shared" si="35"/>
        <v>45352</v>
      </c>
      <c r="F498" t="str">
        <f>"2024/03/01"</f>
        <v>2024/03/01</v>
      </c>
      <c r="G498" s="1" t="s">
        <v>36</v>
      </c>
      <c r="H498">
        <v>2014</v>
      </c>
      <c r="I498" s="1" t="s">
        <v>124</v>
      </c>
      <c r="J498" s="1" t="s">
        <v>13</v>
      </c>
      <c r="K498" s="1" t="s">
        <v>728</v>
      </c>
      <c r="L498" s="1" t="s">
        <v>729</v>
      </c>
    </row>
    <row r="499" spans="1:12" x14ac:dyDescent="0.35">
      <c r="A499" t="s">
        <v>547</v>
      </c>
      <c r="B499" s="1" t="s">
        <v>548</v>
      </c>
      <c r="C499" t="str">
        <f>"2018/09/30"</f>
        <v>2018/09/30</v>
      </c>
      <c r="D499" s="4">
        <f t="shared" si="34"/>
        <v>43373</v>
      </c>
      <c r="E499" s="4">
        <f t="shared" si="35"/>
        <v>72959</v>
      </c>
      <c r="F499" t="str">
        <f>"2099/10/01"</f>
        <v>2099/10/01</v>
      </c>
      <c r="G499" s="1" t="s">
        <v>61</v>
      </c>
      <c r="H499">
        <v>1988</v>
      </c>
      <c r="I499" s="1" t="s">
        <v>6</v>
      </c>
      <c r="J499" s="1" t="s">
        <v>13</v>
      </c>
      <c r="K499" s="1" t="s">
        <v>132</v>
      </c>
    </row>
    <row r="500" spans="1:12" x14ac:dyDescent="0.35">
      <c r="A500" s="5" t="s">
        <v>835</v>
      </c>
      <c r="B500" s="6" t="s">
        <v>836</v>
      </c>
      <c r="C500" s="5" t="str">
        <f>"2018/09/26"</f>
        <v>2018/09/26</v>
      </c>
      <c r="D500" s="7">
        <f t="shared" si="34"/>
        <v>43369</v>
      </c>
      <c r="E500" s="7">
        <f t="shared" si="35"/>
        <v>45199</v>
      </c>
      <c r="F500" s="5" t="str">
        <f>"2023/09/30"</f>
        <v>2023/09/30</v>
      </c>
      <c r="G500" s="6" t="s">
        <v>36</v>
      </c>
      <c r="H500" s="5">
        <v>2014</v>
      </c>
      <c r="I500" s="6" t="s">
        <v>12</v>
      </c>
      <c r="J500" s="6" t="s">
        <v>13</v>
      </c>
      <c r="K500" s="6" t="s">
        <v>837</v>
      </c>
      <c r="L500" s="6"/>
    </row>
    <row r="501" spans="1:12" x14ac:dyDescent="0.35">
      <c r="A501" t="s">
        <v>854</v>
      </c>
      <c r="B501" s="1" t="s">
        <v>855</v>
      </c>
      <c r="C501" t="str">
        <f>"2018/09/22"</f>
        <v>2018/09/22</v>
      </c>
      <c r="D501" s="4">
        <f t="shared" si="34"/>
        <v>43365</v>
      </c>
      <c r="E501" s="4">
        <f t="shared" si="35"/>
        <v>45382</v>
      </c>
      <c r="F501" t="str">
        <f>"2024/03/31"</f>
        <v>2024/03/31</v>
      </c>
      <c r="G501" s="1" t="s">
        <v>45</v>
      </c>
      <c r="H501">
        <v>1963</v>
      </c>
      <c r="I501" s="1" t="s">
        <v>12</v>
      </c>
      <c r="J501" s="1" t="s">
        <v>22</v>
      </c>
      <c r="K501" s="1" t="s">
        <v>234</v>
      </c>
    </row>
    <row r="502" spans="1:12" x14ac:dyDescent="0.35">
      <c r="A502" t="s">
        <v>856</v>
      </c>
      <c r="B502" s="1" t="s">
        <v>857</v>
      </c>
      <c r="C502" t="str">
        <f>"2018/09/22"</f>
        <v>2018/09/22</v>
      </c>
      <c r="D502" s="4">
        <f t="shared" si="34"/>
        <v>43365</v>
      </c>
      <c r="E502" s="4">
        <f t="shared" si="35"/>
        <v>45382</v>
      </c>
      <c r="F502" t="str">
        <f>"2024/03/31"</f>
        <v>2024/03/31</v>
      </c>
      <c r="G502" s="1" t="s">
        <v>45</v>
      </c>
      <c r="H502">
        <v>1964</v>
      </c>
      <c r="I502" s="1" t="s">
        <v>12</v>
      </c>
      <c r="K502" s="1" t="s">
        <v>234</v>
      </c>
    </row>
    <row r="503" spans="1:12" x14ac:dyDescent="0.35">
      <c r="A503" t="s">
        <v>858</v>
      </c>
      <c r="B503" s="1" t="s">
        <v>859</v>
      </c>
      <c r="C503" t="str">
        <f>"2018/09/22"</f>
        <v>2018/09/22</v>
      </c>
      <c r="D503" s="4">
        <f t="shared" si="34"/>
        <v>43365</v>
      </c>
      <c r="E503" s="4">
        <f t="shared" si="35"/>
        <v>45382</v>
      </c>
      <c r="F503" t="str">
        <f>"2024/03/31"</f>
        <v>2024/03/31</v>
      </c>
      <c r="G503" s="1" t="s">
        <v>45</v>
      </c>
      <c r="H503">
        <v>1962</v>
      </c>
      <c r="I503" s="1" t="s">
        <v>12</v>
      </c>
      <c r="J503" s="1" t="s">
        <v>22</v>
      </c>
      <c r="K503" s="1" t="s">
        <v>46</v>
      </c>
      <c r="L503" s="1" t="s">
        <v>695</v>
      </c>
    </row>
    <row r="504" spans="1:12" x14ac:dyDescent="0.35">
      <c r="A504" s="5" t="s">
        <v>686</v>
      </c>
      <c r="B504" s="6" t="s">
        <v>687</v>
      </c>
      <c r="C504" s="5" t="str">
        <f>"2018/09/20"</f>
        <v>2018/09/20</v>
      </c>
      <c r="D504" s="7">
        <f t="shared" si="34"/>
        <v>43363</v>
      </c>
      <c r="E504" s="7">
        <f t="shared" si="35"/>
        <v>45199</v>
      </c>
      <c r="F504" s="5" t="str">
        <f>"2023/09/30"</f>
        <v>2023/09/30</v>
      </c>
      <c r="G504" s="6" t="s">
        <v>27</v>
      </c>
      <c r="H504" s="5">
        <v>1964</v>
      </c>
      <c r="I504" s="6" t="s">
        <v>13</v>
      </c>
      <c r="J504" s="6" t="s">
        <v>8</v>
      </c>
      <c r="K504" s="6" t="s">
        <v>688</v>
      </c>
      <c r="L504" s="6"/>
    </row>
    <row r="505" spans="1:12" x14ac:dyDescent="0.35">
      <c r="A505" s="5" t="s">
        <v>700</v>
      </c>
      <c r="B505" s="6" t="s">
        <v>701</v>
      </c>
      <c r="C505" s="5" t="str">
        <f>"2018/09/20"</f>
        <v>2018/09/20</v>
      </c>
      <c r="D505" s="7">
        <f t="shared" si="34"/>
        <v>43363</v>
      </c>
      <c r="E505" s="7">
        <f t="shared" si="35"/>
        <v>45199</v>
      </c>
      <c r="F505" s="5" t="str">
        <f>"2023/09/30"</f>
        <v>2023/09/30</v>
      </c>
      <c r="G505" s="6" t="s">
        <v>87</v>
      </c>
      <c r="H505" s="5">
        <v>1932</v>
      </c>
      <c r="I505" s="6" t="s">
        <v>8</v>
      </c>
      <c r="J505" s="6"/>
      <c r="K505" s="6" t="s">
        <v>90</v>
      </c>
      <c r="L505" s="6"/>
    </row>
    <row r="506" spans="1:12" x14ac:dyDescent="0.35">
      <c r="A506" t="s">
        <v>772</v>
      </c>
      <c r="B506" s="1" t="s">
        <v>773</v>
      </c>
      <c r="C506" t="str">
        <f t="shared" ref="C506:C513" si="38">"2018/08/22"</f>
        <v>2018/08/22</v>
      </c>
      <c r="D506" s="4">
        <f t="shared" si="34"/>
        <v>43334</v>
      </c>
      <c r="E506" s="4">
        <f t="shared" si="35"/>
        <v>45350</v>
      </c>
      <c r="F506" t="str">
        <f t="shared" ref="F506:F512" si="39">"2024/02/28"</f>
        <v>2024/02/28</v>
      </c>
      <c r="G506" s="1" t="s">
        <v>5</v>
      </c>
      <c r="H506">
        <v>1980</v>
      </c>
      <c r="I506" s="1" t="s">
        <v>12</v>
      </c>
      <c r="J506" s="1" t="s">
        <v>13</v>
      </c>
      <c r="K506" s="1" t="s">
        <v>774</v>
      </c>
    </row>
    <row r="507" spans="1:12" x14ac:dyDescent="0.35">
      <c r="A507" t="s">
        <v>775</v>
      </c>
      <c r="B507" s="1" t="s">
        <v>776</v>
      </c>
      <c r="C507" t="str">
        <f t="shared" si="38"/>
        <v>2018/08/22</v>
      </c>
      <c r="D507" s="4">
        <f t="shared" si="34"/>
        <v>43334</v>
      </c>
      <c r="E507" s="4">
        <f t="shared" si="35"/>
        <v>45350</v>
      </c>
      <c r="F507" t="str">
        <f t="shared" si="39"/>
        <v>2024/02/28</v>
      </c>
      <c r="G507" s="1" t="s">
        <v>5</v>
      </c>
      <c r="H507">
        <v>1987</v>
      </c>
      <c r="I507" s="1" t="s">
        <v>12</v>
      </c>
      <c r="J507" s="1" t="s">
        <v>13</v>
      </c>
      <c r="K507" s="1" t="s">
        <v>774</v>
      </c>
    </row>
    <row r="508" spans="1:12" x14ac:dyDescent="0.35">
      <c r="A508" t="s">
        <v>777</v>
      </c>
      <c r="B508" s="1" t="s">
        <v>778</v>
      </c>
      <c r="C508" t="str">
        <f t="shared" si="38"/>
        <v>2018/08/22</v>
      </c>
      <c r="D508" s="4">
        <f t="shared" si="34"/>
        <v>43334</v>
      </c>
      <c r="E508" s="4">
        <f t="shared" si="35"/>
        <v>45350</v>
      </c>
      <c r="F508" t="str">
        <f t="shared" si="39"/>
        <v>2024/02/28</v>
      </c>
      <c r="G508" s="1" t="s">
        <v>5</v>
      </c>
      <c r="H508">
        <v>1984</v>
      </c>
      <c r="I508" s="1" t="s">
        <v>13</v>
      </c>
      <c r="J508" s="1" t="s">
        <v>22</v>
      </c>
      <c r="K508" s="1" t="s">
        <v>774</v>
      </c>
    </row>
    <row r="509" spans="1:12" x14ac:dyDescent="0.35">
      <c r="A509" t="s">
        <v>779</v>
      </c>
      <c r="B509" s="1" t="s">
        <v>780</v>
      </c>
      <c r="C509" t="str">
        <f t="shared" si="38"/>
        <v>2018/08/22</v>
      </c>
      <c r="D509" s="4">
        <f t="shared" si="34"/>
        <v>43334</v>
      </c>
      <c r="E509" s="4">
        <f t="shared" si="35"/>
        <v>45350</v>
      </c>
      <c r="F509" t="str">
        <f t="shared" si="39"/>
        <v>2024/02/28</v>
      </c>
      <c r="G509" s="1" t="s">
        <v>5</v>
      </c>
      <c r="H509">
        <v>1981</v>
      </c>
      <c r="I509" s="1" t="s">
        <v>12</v>
      </c>
      <c r="J509" s="1" t="s">
        <v>13</v>
      </c>
      <c r="K509" s="1" t="s">
        <v>774</v>
      </c>
    </row>
    <row r="510" spans="1:12" x14ac:dyDescent="0.35">
      <c r="A510" t="s">
        <v>781</v>
      </c>
      <c r="B510" s="1" t="s">
        <v>782</v>
      </c>
      <c r="C510" t="str">
        <f t="shared" si="38"/>
        <v>2018/08/22</v>
      </c>
      <c r="D510" s="4">
        <f t="shared" si="34"/>
        <v>43334</v>
      </c>
      <c r="E510" s="4">
        <f t="shared" si="35"/>
        <v>45350</v>
      </c>
      <c r="F510" t="str">
        <f t="shared" si="39"/>
        <v>2024/02/28</v>
      </c>
      <c r="G510" s="1" t="s">
        <v>5</v>
      </c>
      <c r="H510">
        <v>1982</v>
      </c>
      <c r="I510" s="1" t="s">
        <v>6</v>
      </c>
      <c r="J510" s="1" t="s">
        <v>12</v>
      </c>
      <c r="K510" s="1" t="s">
        <v>774</v>
      </c>
    </row>
    <row r="511" spans="1:12" x14ac:dyDescent="0.35">
      <c r="A511" t="s">
        <v>783</v>
      </c>
      <c r="B511" s="1" t="s">
        <v>784</v>
      </c>
      <c r="C511" t="str">
        <f t="shared" si="38"/>
        <v>2018/08/22</v>
      </c>
      <c r="D511" s="4">
        <f t="shared" si="34"/>
        <v>43334</v>
      </c>
      <c r="E511" s="4">
        <f t="shared" si="35"/>
        <v>45350</v>
      </c>
      <c r="F511" t="str">
        <f t="shared" si="39"/>
        <v>2024/02/28</v>
      </c>
      <c r="G511" s="1" t="s">
        <v>5</v>
      </c>
      <c r="H511">
        <v>1986</v>
      </c>
      <c r="I511" s="1" t="s">
        <v>6</v>
      </c>
      <c r="J511" s="1" t="s">
        <v>13</v>
      </c>
      <c r="K511" s="1" t="s">
        <v>774</v>
      </c>
    </row>
    <row r="512" spans="1:12" ht="29" x14ac:dyDescent="0.35">
      <c r="A512" t="s">
        <v>785</v>
      </c>
      <c r="B512" s="1" t="s">
        <v>786</v>
      </c>
      <c r="C512" t="str">
        <f t="shared" si="38"/>
        <v>2018/08/22</v>
      </c>
      <c r="D512" s="4">
        <f t="shared" si="34"/>
        <v>43334</v>
      </c>
      <c r="E512" s="4">
        <f t="shared" si="35"/>
        <v>45350</v>
      </c>
      <c r="F512" t="str">
        <f t="shared" si="39"/>
        <v>2024/02/28</v>
      </c>
      <c r="G512" s="1" t="s">
        <v>5</v>
      </c>
      <c r="H512">
        <v>1986</v>
      </c>
      <c r="I512" s="1" t="s">
        <v>13</v>
      </c>
      <c r="K512" s="1" t="s">
        <v>774</v>
      </c>
    </row>
    <row r="513" spans="1:12" x14ac:dyDescent="0.35">
      <c r="A513" t="s">
        <v>829</v>
      </c>
      <c r="B513" s="1" t="s">
        <v>830</v>
      </c>
      <c r="C513" t="str">
        <f t="shared" si="38"/>
        <v>2018/08/22</v>
      </c>
      <c r="D513" s="4">
        <f t="shared" si="34"/>
        <v>43334</v>
      </c>
      <c r="E513" s="4">
        <f t="shared" si="35"/>
        <v>72686</v>
      </c>
      <c r="F513" t="str">
        <f>"2099/01/01"</f>
        <v>2099/01/01</v>
      </c>
      <c r="G513" s="1" t="s">
        <v>61</v>
      </c>
      <c r="H513">
        <v>1997</v>
      </c>
      <c r="I513" s="1" t="s">
        <v>13</v>
      </c>
      <c r="K513" s="1" t="s">
        <v>831</v>
      </c>
    </row>
    <row r="514" spans="1:12" x14ac:dyDescent="0.35">
      <c r="A514" t="s">
        <v>817</v>
      </c>
      <c r="B514" s="1" t="s">
        <v>818</v>
      </c>
      <c r="C514" t="str">
        <f>"2018/08/16"</f>
        <v>2018/08/16</v>
      </c>
      <c r="D514" s="4">
        <f t="shared" ref="D514:D577" si="40">DATEVALUE(C514)</f>
        <v>43328</v>
      </c>
      <c r="E514" s="4">
        <f t="shared" ref="E514:E577" si="41">DATEVALUE(F514)</f>
        <v>45352</v>
      </c>
      <c r="F514" t="str">
        <f>"2024/03/01"</f>
        <v>2024/03/01</v>
      </c>
      <c r="G514" s="1" t="s">
        <v>98</v>
      </c>
      <c r="H514">
        <v>2012</v>
      </c>
      <c r="I514" s="1" t="s">
        <v>13</v>
      </c>
      <c r="K514" s="1" t="s">
        <v>819</v>
      </c>
    </row>
    <row r="515" spans="1:12" x14ac:dyDescent="0.35">
      <c r="A515" t="s">
        <v>787</v>
      </c>
      <c r="B515" s="1" t="s">
        <v>788</v>
      </c>
      <c r="C515" t="str">
        <f>"2018/07/18"</f>
        <v>2018/07/18</v>
      </c>
      <c r="D515" s="4">
        <f t="shared" si="40"/>
        <v>43299</v>
      </c>
      <c r="E515" s="4">
        <f t="shared" si="41"/>
        <v>45350</v>
      </c>
      <c r="F515" t="str">
        <f>"2024/02/28"</f>
        <v>2024/02/28</v>
      </c>
      <c r="G515" s="1" t="s">
        <v>5</v>
      </c>
      <c r="H515">
        <v>1996</v>
      </c>
      <c r="I515" s="1" t="s">
        <v>12</v>
      </c>
      <c r="J515" s="1" t="s">
        <v>13</v>
      </c>
      <c r="K515" s="1" t="s">
        <v>789</v>
      </c>
    </row>
    <row r="516" spans="1:12" x14ac:dyDescent="0.35">
      <c r="A516" t="s">
        <v>765</v>
      </c>
      <c r="B516" s="1" t="s">
        <v>766</v>
      </c>
      <c r="C516" t="str">
        <f>"2018/07/17"</f>
        <v>2018/07/17</v>
      </c>
      <c r="D516" s="4">
        <f t="shared" si="40"/>
        <v>43298</v>
      </c>
      <c r="E516" s="4">
        <f t="shared" si="41"/>
        <v>45382</v>
      </c>
      <c r="F516" t="str">
        <f>"2024/03/31"</f>
        <v>2024/03/31</v>
      </c>
      <c r="G516" s="1" t="s">
        <v>17</v>
      </c>
      <c r="H516">
        <v>1968</v>
      </c>
      <c r="I516" s="1" t="s">
        <v>52</v>
      </c>
      <c r="J516" s="1" t="s">
        <v>6</v>
      </c>
      <c r="K516" s="1" t="s">
        <v>767</v>
      </c>
    </row>
    <row r="517" spans="1:12" x14ac:dyDescent="0.35">
      <c r="A517" s="5" t="s">
        <v>693</v>
      </c>
      <c r="B517" s="6" t="s">
        <v>694</v>
      </c>
      <c r="C517" s="5" t="str">
        <f>"2018/05/25"</f>
        <v>2018/05/25</v>
      </c>
      <c r="D517" s="7">
        <f t="shared" si="40"/>
        <v>43245</v>
      </c>
      <c r="E517" s="7">
        <f t="shared" si="41"/>
        <v>45199</v>
      </c>
      <c r="F517" s="5" t="str">
        <f>"2023/09/30"</f>
        <v>2023/09/30</v>
      </c>
      <c r="G517" s="6" t="s">
        <v>45</v>
      </c>
      <c r="H517" s="5">
        <v>1960</v>
      </c>
      <c r="I517" s="6" t="s">
        <v>6</v>
      </c>
      <c r="J517" s="6" t="s">
        <v>13</v>
      </c>
      <c r="K517" s="6" t="s">
        <v>695</v>
      </c>
      <c r="L517" s="6"/>
    </row>
    <row r="518" spans="1:12" x14ac:dyDescent="0.35">
      <c r="A518" t="s">
        <v>702</v>
      </c>
      <c r="B518" s="1" t="s">
        <v>703</v>
      </c>
      <c r="C518" t="str">
        <f>"2018/01/17"</f>
        <v>2018/01/17</v>
      </c>
      <c r="D518" s="4">
        <f t="shared" si="40"/>
        <v>43117</v>
      </c>
      <c r="E518" s="4">
        <f t="shared" si="41"/>
        <v>45352</v>
      </c>
      <c r="F518" t="str">
        <f>"2024/03/01"</f>
        <v>2024/03/01</v>
      </c>
      <c r="G518" s="1" t="s">
        <v>36</v>
      </c>
      <c r="H518">
        <v>2008</v>
      </c>
      <c r="I518" s="1" t="s">
        <v>124</v>
      </c>
      <c r="J518" s="1" t="s">
        <v>13</v>
      </c>
      <c r="K518" s="1" t="s">
        <v>704</v>
      </c>
    </row>
    <row r="519" spans="1:12" x14ac:dyDescent="0.35">
      <c r="A519" t="s">
        <v>709</v>
      </c>
      <c r="B519" s="1" t="s">
        <v>710</v>
      </c>
      <c r="C519" t="str">
        <f>"2018/01/17"</f>
        <v>2018/01/17</v>
      </c>
      <c r="D519" s="4">
        <f t="shared" si="40"/>
        <v>43117</v>
      </c>
      <c r="E519" s="4">
        <f t="shared" si="41"/>
        <v>45352</v>
      </c>
      <c r="F519" t="str">
        <f>"2024/03/01"</f>
        <v>2024/03/01</v>
      </c>
      <c r="G519" s="1" t="s">
        <v>36</v>
      </c>
      <c r="H519">
        <v>1994</v>
      </c>
      <c r="I519" s="1" t="s">
        <v>12</v>
      </c>
      <c r="J519" s="1" t="s">
        <v>13</v>
      </c>
      <c r="K519" s="1" t="s">
        <v>711</v>
      </c>
    </row>
    <row r="520" spans="1:12" x14ac:dyDescent="0.35">
      <c r="A520" t="s">
        <v>712</v>
      </c>
      <c r="B520" s="1" t="s">
        <v>713</v>
      </c>
      <c r="C520" t="str">
        <f>"2018/01/17"</f>
        <v>2018/01/17</v>
      </c>
      <c r="D520" s="4">
        <f t="shared" si="40"/>
        <v>43117</v>
      </c>
      <c r="E520" s="4">
        <f t="shared" si="41"/>
        <v>45352</v>
      </c>
      <c r="F520" t="str">
        <f>"2024/03/01"</f>
        <v>2024/03/01</v>
      </c>
      <c r="G520" s="1" t="s">
        <v>513</v>
      </c>
      <c r="H520">
        <v>2010</v>
      </c>
      <c r="I520" s="1" t="s">
        <v>13</v>
      </c>
      <c r="J520" s="1" t="s">
        <v>22</v>
      </c>
      <c r="K520" s="1" t="s">
        <v>714</v>
      </c>
    </row>
    <row r="521" spans="1:12" x14ac:dyDescent="0.35">
      <c r="A521" t="s">
        <v>718</v>
      </c>
      <c r="B521" s="1" t="s">
        <v>719</v>
      </c>
      <c r="C521" t="str">
        <f>"2018/01/17"</f>
        <v>2018/01/17</v>
      </c>
      <c r="D521" s="4">
        <f t="shared" si="40"/>
        <v>43117</v>
      </c>
      <c r="E521" s="4">
        <f t="shared" si="41"/>
        <v>45352</v>
      </c>
      <c r="F521" t="str">
        <f>"2024/03/01"</f>
        <v>2024/03/01</v>
      </c>
      <c r="G521" s="1" t="s">
        <v>395</v>
      </c>
      <c r="H521">
        <v>2013</v>
      </c>
      <c r="I521" s="1" t="s">
        <v>41</v>
      </c>
      <c r="J521" s="1" t="s">
        <v>124</v>
      </c>
      <c r="K521" s="1" t="s">
        <v>720</v>
      </c>
    </row>
    <row r="522" spans="1:12" x14ac:dyDescent="0.35">
      <c r="A522" s="5" t="s">
        <v>683</v>
      </c>
      <c r="B522" s="6" t="s">
        <v>684</v>
      </c>
      <c r="C522" s="5" t="str">
        <f>"2018/01/10"</f>
        <v>2018/01/10</v>
      </c>
      <c r="D522" s="7">
        <f t="shared" si="40"/>
        <v>43110</v>
      </c>
      <c r="E522" s="7">
        <f t="shared" si="41"/>
        <v>45199</v>
      </c>
      <c r="F522" s="5" t="str">
        <f>"2023/09/30"</f>
        <v>2023/09/30</v>
      </c>
      <c r="G522" s="6" t="s">
        <v>27</v>
      </c>
      <c r="H522" s="5">
        <v>1964</v>
      </c>
      <c r="I522" s="6" t="s">
        <v>6</v>
      </c>
      <c r="J522" s="6" t="s">
        <v>7</v>
      </c>
      <c r="K522" s="6" t="s">
        <v>685</v>
      </c>
      <c r="L522" s="6"/>
    </row>
    <row r="523" spans="1:12" ht="29" x14ac:dyDescent="0.35">
      <c r="A523" s="5" t="s">
        <v>721</v>
      </c>
      <c r="B523" s="6" t="s">
        <v>722</v>
      </c>
      <c r="C523" s="5" t="str">
        <f>"2018/01/10"</f>
        <v>2018/01/10</v>
      </c>
      <c r="D523" s="7">
        <f t="shared" si="40"/>
        <v>43110</v>
      </c>
      <c r="E523" s="7">
        <f t="shared" si="41"/>
        <v>45199</v>
      </c>
      <c r="F523" s="5" t="str">
        <f>"2023/09/30"</f>
        <v>2023/09/30</v>
      </c>
      <c r="G523" s="6" t="s">
        <v>5</v>
      </c>
      <c r="H523" s="5">
        <v>1985</v>
      </c>
      <c r="I523" s="6" t="s">
        <v>6</v>
      </c>
      <c r="J523" s="6" t="s">
        <v>31</v>
      </c>
      <c r="K523" s="6" t="s">
        <v>723</v>
      </c>
      <c r="L523" s="6"/>
    </row>
    <row r="524" spans="1:12" ht="29" x14ac:dyDescent="0.35">
      <c r="A524" s="5" t="s">
        <v>721</v>
      </c>
      <c r="B524" s="6" t="s">
        <v>724</v>
      </c>
      <c r="C524" s="5" t="str">
        <f>"2018/01/10"</f>
        <v>2018/01/10</v>
      </c>
      <c r="D524" s="7">
        <f t="shared" si="40"/>
        <v>43110</v>
      </c>
      <c r="E524" s="7">
        <f t="shared" si="41"/>
        <v>45199</v>
      </c>
      <c r="F524" s="5" t="str">
        <f>"2023/09/30"</f>
        <v>2023/09/30</v>
      </c>
      <c r="G524" s="6" t="s">
        <v>5</v>
      </c>
      <c r="H524" s="5">
        <v>1985</v>
      </c>
      <c r="I524" s="6" t="s">
        <v>6</v>
      </c>
      <c r="J524" s="6" t="s">
        <v>31</v>
      </c>
      <c r="K524" s="6" t="s">
        <v>723</v>
      </c>
      <c r="L524" s="6"/>
    </row>
    <row r="525" spans="1:12" ht="29" x14ac:dyDescent="0.35">
      <c r="A525" t="s">
        <v>603</v>
      </c>
      <c r="B525" s="1" t="s">
        <v>604</v>
      </c>
      <c r="C525" t="str">
        <f>"2017/02/21"</f>
        <v>2017/02/21</v>
      </c>
      <c r="D525" s="4">
        <f t="shared" si="40"/>
        <v>42787</v>
      </c>
      <c r="E525" s="4">
        <f t="shared" si="41"/>
        <v>45350</v>
      </c>
      <c r="F525" t="str">
        <f>"2024/02/28"</f>
        <v>2024/02/28</v>
      </c>
      <c r="G525" s="1" t="s">
        <v>11</v>
      </c>
      <c r="H525">
        <v>1974</v>
      </c>
      <c r="I525" s="1" t="s">
        <v>6</v>
      </c>
      <c r="J525" s="1" t="s">
        <v>13</v>
      </c>
      <c r="K525" s="1" t="s">
        <v>602</v>
      </c>
    </row>
    <row r="526" spans="1:12" ht="29" x14ac:dyDescent="0.35">
      <c r="A526" t="s">
        <v>605</v>
      </c>
      <c r="B526" s="1" t="s">
        <v>606</v>
      </c>
      <c r="C526" t="str">
        <f>"2017/02/21"</f>
        <v>2017/02/21</v>
      </c>
      <c r="D526" s="4">
        <f t="shared" si="40"/>
        <v>42787</v>
      </c>
      <c r="E526" s="4">
        <f t="shared" si="41"/>
        <v>45350</v>
      </c>
      <c r="F526" t="str">
        <f>"2024/02/28"</f>
        <v>2024/02/28</v>
      </c>
      <c r="G526" s="1" t="s">
        <v>11</v>
      </c>
      <c r="H526">
        <v>1978</v>
      </c>
      <c r="I526" s="1" t="s">
        <v>6</v>
      </c>
      <c r="J526" s="1" t="s">
        <v>13</v>
      </c>
      <c r="K526" s="1" t="s">
        <v>602</v>
      </c>
    </row>
    <row r="527" spans="1:12" ht="29" x14ac:dyDescent="0.35">
      <c r="A527" t="s">
        <v>607</v>
      </c>
      <c r="B527" s="1" t="s">
        <v>608</v>
      </c>
      <c r="C527" t="str">
        <f>"2017/02/21"</f>
        <v>2017/02/21</v>
      </c>
      <c r="D527" s="4">
        <f t="shared" si="40"/>
        <v>42787</v>
      </c>
      <c r="E527" s="4">
        <f t="shared" si="41"/>
        <v>45350</v>
      </c>
      <c r="F527" t="str">
        <f>"2024/02/28"</f>
        <v>2024/02/28</v>
      </c>
      <c r="G527" s="1" t="s">
        <v>11</v>
      </c>
      <c r="H527">
        <v>1972</v>
      </c>
      <c r="I527" s="1" t="s">
        <v>6</v>
      </c>
      <c r="J527" s="1" t="s">
        <v>13</v>
      </c>
      <c r="K527" s="1" t="s">
        <v>602</v>
      </c>
    </row>
    <row r="528" spans="1:12" x14ac:dyDescent="0.35">
      <c r="A528" t="s">
        <v>706</v>
      </c>
      <c r="B528" s="1" t="s">
        <v>707</v>
      </c>
      <c r="C528" t="str">
        <f>"2017/01/17"</f>
        <v>2017/01/17</v>
      </c>
      <c r="D528" s="4">
        <f t="shared" si="40"/>
        <v>42752</v>
      </c>
      <c r="E528" s="4">
        <f t="shared" si="41"/>
        <v>45352</v>
      </c>
      <c r="F528" t="str">
        <f>"2024/03/01"</f>
        <v>2024/03/01</v>
      </c>
      <c r="G528" s="1" t="s">
        <v>49</v>
      </c>
      <c r="H528">
        <v>2010</v>
      </c>
      <c r="I528" s="1" t="s">
        <v>13</v>
      </c>
      <c r="J528" s="1" t="s">
        <v>50</v>
      </c>
      <c r="K528" s="1" t="s">
        <v>708</v>
      </c>
    </row>
    <row r="529" spans="1:12" x14ac:dyDescent="0.35">
      <c r="A529" t="s">
        <v>715</v>
      </c>
      <c r="B529" s="1" t="s">
        <v>716</v>
      </c>
      <c r="C529" t="str">
        <f>"2017/01/17"</f>
        <v>2017/01/17</v>
      </c>
      <c r="D529" s="4">
        <f t="shared" si="40"/>
        <v>42752</v>
      </c>
      <c r="E529" s="4">
        <f t="shared" si="41"/>
        <v>45352</v>
      </c>
      <c r="F529" t="str">
        <f>"2024/03/01"</f>
        <v>2024/03/01</v>
      </c>
      <c r="G529" s="1" t="s">
        <v>36</v>
      </c>
      <c r="H529">
        <v>2011</v>
      </c>
      <c r="I529" s="1" t="s">
        <v>12</v>
      </c>
      <c r="J529" s="1" t="s">
        <v>13</v>
      </c>
      <c r="K529" s="1" t="s">
        <v>717</v>
      </c>
    </row>
    <row r="530" spans="1:12" x14ac:dyDescent="0.35">
      <c r="A530" t="s">
        <v>600</v>
      </c>
      <c r="B530" s="1" t="s">
        <v>601</v>
      </c>
      <c r="C530" t="str">
        <f>"2016/12/13"</f>
        <v>2016/12/13</v>
      </c>
      <c r="D530" s="4">
        <f t="shared" si="40"/>
        <v>42717</v>
      </c>
      <c r="E530" s="4">
        <f t="shared" si="41"/>
        <v>72686</v>
      </c>
      <c r="F530" t="str">
        <f>"2099/01/01"</f>
        <v>2099/01/01</v>
      </c>
      <c r="G530" s="1" t="s">
        <v>45</v>
      </c>
      <c r="H530">
        <v>2001</v>
      </c>
      <c r="I530" s="1" t="s">
        <v>31</v>
      </c>
      <c r="K530" s="1" t="s">
        <v>93</v>
      </c>
    </row>
    <row r="531" spans="1:12" x14ac:dyDescent="0.35">
      <c r="A531" t="s">
        <v>600</v>
      </c>
      <c r="B531" s="1" t="s">
        <v>655</v>
      </c>
      <c r="C531" t="str">
        <f>"2016/12/13"</f>
        <v>2016/12/13</v>
      </c>
      <c r="D531" s="4">
        <f t="shared" si="40"/>
        <v>42717</v>
      </c>
      <c r="E531" s="4">
        <f t="shared" si="41"/>
        <v>72686</v>
      </c>
      <c r="F531" t="str">
        <f>"2099/01/01"</f>
        <v>2099/01/01</v>
      </c>
      <c r="G531" s="1" t="s">
        <v>45</v>
      </c>
      <c r="H531">
        <v>2001</v>
      </c>
      <c r="I531" s="1" t="s">
        <v>31</v>
      </c>
      <c r="K531" s="1" t="s">
        <v>93</v>
      </c>
    </row>
    <row r="532" spans="1:12" ht="29" x14ac:dyDescent="0.35">
      <c r="A532" s="5" t="s">
        <v>566</v>
      </c>
      <c r="B532" s="6" t="s">
        <v>567</v>
      </c>
      <c r="C532" s="5" t="str">
        <f>"2016/11/04"</f>
        <v>2016/11/04</v>
      </c>
      <c r="D532" s="7">
        <f t="shared" si="40"/>
        <v>42678</v>
      </c>
      <c r="E532" s="7">
        <f t="shared" si="41"/>
        <v>45199</v>
      </c>
      <c r="F532" s="5" t="str">
        <f>"2023/09/30"</f>
        <v>2023/09/30</v>
      </c>
      <c r="G532" s="6" t="s">
        <v>49</v>
      </c>
      <c r="H532" s="5">
        <v>2015</v>
      </c>
      <c r="I532" s="6" t="s">
        <v>7</v>
      </c>
      <c r="J532" s="6" t="s">
        <v>117</v>
      </c>
      <c r="K532" s="6" t="s">
        <v>568</v>
      </c>
      <c r="L532" s="6"/>
    </row>
    <row r="533" spans="1:12" x14ac:dyDescent="0.35">
      <c r="A533" s="5" t="s">
        <v>287</v>
      </c>
      <c r="B533" s="6" t="s">
        <v>288</v>
      </c>
      <c r="C533" s="5" t="str">
        <f>"2016/08/25"</f>
        <v>2016/08/25</v>
      </c>
      <c r="D533" s="7">
        <f t="shared" si="40"/>
        <v>42607</v>
      </c>
      <c r="E533" s="7">
        <f t="shared" si="41"/>
        <v>45017</v>
      </c>
      <c r="F533" s="5" t="str">
        <f>"2023/04/01"</f>
        <v>2023/04/01</v>
      </c>
      <c r="G533" s="6" t="s">
        <v>289</v>
      </c>
      <c r="H533" s="5">
        <v>1980</v>
      </c>
      <c r="I533" s="6" t="s">
        <v>8</v>
      </c>
      <c r="J533" s="6" t="s">
        <v>240</v>
      </c>
      <c r="K533" s="6" t="s">
        <v>290</v>
      </c>
      <c r="L533" s="6"/>
    </row>
    <row r="534" spans="1:12" x14ac:dyDescent="0.35">
      <c r="A534" s="5" t="s">
        <v>291</v>
      </c>
      <c r="B534" s="6" t="s">
        <v>292</v>
      </c>
      <c r="C534" s="5" t="str">
        <f>"2016/08/25"</f>
        <v>2016/08/25</v>
      </c>
      <c r="D534" s="7">
        <f t="shared" si="40"/>
        <v>42607</v>
      </c>
      <c r="E534" s="7">
        <f t="shared" si="41"/>
        <v>45017</v>
      </c>
      <c r="F534" s="5" t="str">
        <f>"2023/04/01"</f>
        <v>2023/04/01</v>
      </c>
      <c r="G534" s="6" t="s">
        <v>289</v>
      </c>
      <c r="H534" s="5">
        <v>1979</v>
      </c>
      <c r="I534" s="6" t="s">
        <v>7</v>
      </c>
      <c r="J534" s="6" t="s">
        <v>8</v>
      </c>
      <c r="K534" s="6" t="s">
        <v>290</v>
      </c>
      <c r="L534" s="6"/>
    </row>
    <row r="535" spans="1:12" x14ac:dyDescent="0.35">
      <c r="A535" t="s">
        <v>106</v>
      </c>
      <c r="B535" s="1" t="s">
        <v>107</v>
      </c>
      <c r="C535" t="str">
        <f>"2016/08/01"</f>
        <v>2016/08/01</v>
      </c>
      <c r="D535" s="4">
        <f t="shared" si="40"/>
        <v>42583</v>
      </c>
      <c r="E535" s="4">
        <f t="shared" si="41"/>
        <v>45230</v>
      </c>
      <c r="F535" t="str">
        <f>"2023/10/31"</f>
        <v>2023/10/31</v>
      </c>
      <c r="G535" s="1" t="s">
        <v>108</v>
      </c>
      <c r="H535">
        <v>2009</v>
      </c>
      <c r="I535" s="1" t="s">
        <v>13</v>
      </c>
      <c r="K535" s="1" t="s">
        <v>109</v>
      </c>
    </row>
    <row r="536" spans="1:12" ht="29" x14ac:dyDescent="0.35">
      <c r="A536" t="s">
        <v>112</v>
      </c>
      <c r="B536" s="1" t="s">
        <v>113</v>
      </c>
      <c r="C536" t="str">
        <f>"2016/08/01"</f>
        <v>2016/08/01</v>
      </c>
      <c r="D536" s="4">
        <f t="shared" si="40"/>
        <v>42583</v>
      </c>
      <c r="E536" s="4">
        <f t="shared" si="41"/>
        <v>45230</v>
      </c>
      <c r="F536" t="str">
        <f>"2023/10/31"</f>
        <v>2023/10/31</v>
      </c>
      <c r="G536" s="1" t="s">
        <v>61</v>
      </c>
      <c r="H536">
        <v>2010</v>
      </c>
      <c r="I536" s="1" t="s">
        <v>52</v>
      </c>
      <c r="J536" s="1" t="s">
        <v>31</v>
      </c>
      <c r="K536" s="1" t="s">
        <v>114</v>
      </c>
    </row>
    <row r="537" spans="1:12" x14ac:dyDescent="0.35">
      <c r="A537" t="s">
        <v>122</v>
      </c>
      <c r="B537" s="1" t="s">
        <v>123</v>
      </c>
      <c r="C537" t="str">
        <f>"2016/08/01"</f>
        <v>2016/08/01</v>
      </c>
      <c r="D537" s="4">
        <f t="shared" si="40"/>
        <v>42583</v>
      </c>
      <c r="E537" s="4">
        <f t="shared" si="41"/>
        <v>45230</v>
      </c>
      <c r="F537" t="str">
        <f>"2023/10/31"</f>
        <v>2023/10/31</v>
      </c>
      <c r="G537" s="1" t="s">
        <v>61</v>
      </c>
      <c r="H537">
        <v>2012</v>
      </c>
      <c r="I537" s="1" t="s">
        <v>124</v>
      </c>
      <c r="J537" s="1" t="s">
        <v>13</v>
      </c>
      <c r="K537" s="1" t="s">
        <v>126</v>
      </c>
    </row>
    <row r="538" spans="1:12" x14ac:dyDescent="0.35">
      <c r="A538" t="s">
        <v>229</v>
      </c>
      <c r="B538" s="1" t="s">
        <v>230</v>
      </c>
      <c r="C538" t="str">
        <f>"2016/08/01"</f>
        <v>2016/08/01</v>
      </c>
      <c r="D538" s="4">
        <f t="shared" si="40"/>
        <v>42583</v>
      </c>
      <c r="E538" s="4">
        <f t="shared" si="41"/>
        <v>45230</v>
      </c>
      <c r="F538" t="str">
        <f>"2023/10/31"</f>
        <v>2023/10/31</v>
      </c>
      <c r="G538" s="1" t="s">
        <v>61</v>
      </c>
      <c r="H538">
        <v>2006</v>
      </c>
      <c r="I538" s="1" t="s">
        <v>50</v>
      </c>
      <c r="K538" s="1" t="s">
        <v>121</v>
      </c>
    </row>
    <row r="539" spans="1:12" x14ac:dyDescent="0.35">
      <c r="A539" t="s">
        <v>231</v>
      </c>
      <c r="B539" s="1" t="s">
        <v>232</v>
      </c>
      <c r="C539" t="str">
        <f>"2016/08/01"</f>
        <v>2016/08/01</v>
      </c>
      <c r="D539" s="4">
        <f t="shared" si="40"/>
        <v>42583</v>
      </c>
      <c r="E539" s="4">
        <f t="shared" si="41"/>
        <v>45230</v>
      </c>
      <c r="F539" t="str">
        <f>"2023/10/31"</f>
        <v>2023/10/31</v>
      </c>
      <c r="G539" s="1" t="s">
        <v>61</v>
      </c>
      <c r="H539">
        <v>2013</v>
      </c>
      <c r="I539" s="1" t="s">
        <v>13</v>
      </c>
      <c r="J539" s="1" t="s">
        <v>22</v>
      </c>
      <c r="K539" s="1" t="s">
        <v>233</v>
      </c>
    </row>
    <row r="540" spans="1:12" x14ac:dyDescent="0.35">
      <c r="A540" t="s">
        <v>383</v>
      </c>
      <c r="B540" s="1" t="s">
        <v>384</v>
      </c>
      <c r="C540" t="str">
        <f>"2016/07/08"</f>
        <v>2016/07/08</v>
      </c>
      <c r="D540" s="4">
        <f t="shared" si="40"/>
        <v>42559</v>
      </c>
      <c r="E540" s="4">
        <f t="shared" si="41"/>
        <v>72686</v>
      </c>
      <c r="F540" t="str">
        <f>"2099/01/01"</f>
        <v>2099/01/01</v>
      </c>
      <c r="G540" s="1" t="s">
        <v>61</v>
      </c>
      <c r="H540">
        <v>1995</v>
      </c>
      <c r="I540" s="1" t="s">
        <v>13</v>
      </c>
      <c r="J540" s="1" t="s">
        <v>18</v>
      </c>
      <c r="K540" s="1" t="s">
        <v>385</v>
      </c>
    </row>
    <row r="541" spans="1:12" x14ac:dyDescent="0.35">
      <c r="A541" t="s">
        <v>495</v>
      </c>
      <c r="B541" s="1" t="s">
        <v>496</v>
      </c>
      <c r="C541" t="str">
        <f>"2016/07/08"</f>
        <v>2016/07/08</v>
      </c>
      <c r="D541" s="4">
        <f t="shared" si="40"/>
        <v>42559</v>
      </c>
      <c r="E541" s="4">
        <f t="shared" si="41"/>
        <v>72686</v>
      </c>
      <c r="F541" t="str">
        <f>"2099/01/01"</f>
        <v>2099/01/01</v>
      </c>
      <c r="G541" s="1" t="s">
        <v>61</v>
      </c>
      <c r="H541">
        <v>1997</v>
      </c>
      <c r="I541" s="1" t="s">
        <v>124</v>
      </c>
      <c r="K541" s="1" t="s">
        <v>497</v>
      </c>
    </row>
    <row r="542" spans="1:12" x14ac:dyDescent="0.35">
      <c r="A542" t="s">
        <v>501</v>
      </c>
      <c r="B542" s="1" t="s">
        <v>502</v>
      </c>
      <c r="C542" t="str">
        <f>"2016/07/08"</f>
        <v>2016/07/08</v>
      </c>
      <c r="D542" s="4">
        <f t="shared" si="40"/>
        <v>42559</v>
      </c>
      <c r="E542" s="4">
        <f t="shared" si="41"/>
        <v>72686</v>
      </c>
      <c r="F542" t="str">
        <f>"2099/01/01"</f>
        <v>2099/01/01</v>
      </c>
      <c r="G542" s="1" t="s">
        <v>61</v>
      </c>
      <c r="H542">
        <v>2001</v>
      </c>
      <c r="I542" s="1" t="s">
        <v>13</v>
      </c>
      <c r="K542" s="1" t="s">
        <v>139</v>
      </c>
    </row>
    <row r="543" spans="1:12" x14ac:dyDescent="0.35">
      <c r="A543" t="s">
        <v>598</v>
      </c>
      <c r="B543" s="1" t="s">
        <v>599</v>
      </c>
      <c r="C543" t="str">
        <f>"2016/07/08"</f>
        <v>2016/07/08</v>
      </c>
      <c r="D543" s="4">
        <f t="shared" si="40"/>
        <v>42559</v>
      </c>
      <c r="E543" s="4">
        <f t="shared" si="41"/>
        <v>72686</v>
      </c>
      <c r="F543" t="str">
        <f>"2099/01/01"</f>
        <v>2099/01/01</v>
      </c>
      <c r="G543" s="1" t="s">
        <v>61</v>
      </c>
      <c r="H543">
        <v>1998</v>
      </c>
      <c r="I543" s="1" t="s">
        <v>12</v>
      </c>
      <c r="J543" s="1" t="s">
        <v>13</v>
      </c>
      <c r="K543" s="1" t="s">
        <v>172</v>
      </c>
    </row>
    <row r="544" spans="1:12" x14ac:dyDescent="0.35">
      <c r="A544" t="s">
        <v>498</v>
      </c>
      <c r="B544" s="1" t="s">
        <v>499</v>
      </c>
      <c r="C544" t="str">
        <f>"2016/07/08"</f>
        <v>2016/07/08</v>
      </c>
      <c r="D544" s="4">
        <f t="shared" si="40"/>
        <v>42559</v>
      </c>
      <c r="E544" s="4">
        <f t="shared" si="41"/>
        <v>72873</v>
      </c>
      <c r="F544" t="str">
        <f>"2099/07/07"</f>
        <v>2099/07/07</v>
      </c>
      <c r="G544" s="1" t="s">
        <v>61</v>
      </c>
      <c r="H544">
        <v>2001</v>
      </c>
      <c r="I544" s="1" t="s">
        <v>12</v>
      </c>
      <c r="J544" s="1" t="s">
        <v>13</v>
      </c>
      <c r="K544" s="1" t="s">
        <v>500</v>
      </c>
    </row>
    <row r="545" spans="1:12" x14ac:dyDescent="0.35">
      <c r="A545" t="s">
        <v>572</v>
      </c>
      <c r="B545" s="1" t="s">
        <v>573</v>
      </c>
      <c r="C545" t="str">
        <f t="shared" ref="C545:C550" si="42">"2016/06/09"</f>
        <v>2016/06/09</v>
      </c>
      <c r="D545" s="4">
        <f t="shared" si="40"/>
        <v>42530</v>
      </c>
      <c r="E545" s="4">
        <f t="shared" si="41"/>
        <v>45382</v>
      </c>
      <c r="F545" t="str">
        <f t="shared" ref="F545:F550" si="43">"2024/03/31"</f>
        <v>2024/03/31</v>
      </c>
      <c r="G545" s="1" t="s">
        <v>5</v>
      </c>
      <c r="H545">
        <v>1972</v>
      </c>
      <c r="I545" s="1" t="s">
        <v>8</v>
      </c>
      <c r="K545" s="1" t="s">
        <v>571</v>
      </c>
    </row>
    <row r="546" spans="1:12" x14ac:dyDescent="0.35">
      <c r="A546" t="s">
        <v>574</v>
      </c>
      <c r="B546" s="1" t="s">
        <v>575</v>
      </c>
      <c r="C546" t="str">
        <f t="shared" si="42"/>
        <v>2016/06/09</v>
      </c>
      <c r="D546" s="4">
        <f t="shared" si="40"/>
        <v>42530</v>
      </c>
      <c r="E546" s="4">
        <f t="shared" si="41"/>
        <v>45382</v>
      </c>
      <c r="F546" t="str">
        <f t="shared" si="43"/>
        <v>2024/03/31</v>
      </c>
      <c r="G546" s="1" t="s">
        <v>5</v>
      </c>
      <c r="H546">
        <v>1970</v>
      </c>
      <c r="I546" s="1" t="s">
        <v>8</v>
      </c>
      <c r="K546" s="1" t="s">
        <v>571</v>
      </c>
    </row>
    <row r="547" spans="1:12" x14ac:dyDescent="0.35">
      <c r="A547" t="s">
        <v>576</v>
      </c>
      <c r="B547" s="1" t="s">
        <v>577</v>
      </c>
      <c r="C547" t="str">
        <f t="shared" si="42"/>
        <v>2016/06/09</v>
      </c>
      <c r="D547" s="4">
        <f t="shared" si="40"/>
        <v>42530</v>
      </c>
      <c r="E547" s="4">
        <f t="shared" si="41"/>
        <v>45382</v>
      </c>
      <c r="F547" t="str">
        <f t="shared" si="43"/>
        <v>2024/03/31</v>
      </c>
      <c r="G547" s="1" t="s">
        <v>5</v>
      </c>
      <c r="H547">
        <v>1980</v>
      </c>
      <c r="I547" s="1" t="s">
        <v>7</v>
      </c>
      <c r="J547" s="1" t="s">
        <v>8</v>
      </c>
      <c r="K547" s="1" t="s">
        <v>571</v>
      </c>
    </row>
    <row r="548" spans="1:12" x14ac:dyDescent="0.35">
      <c r="A548" t="s">
        <v>578</v>
      </c>
      <c r="B548" s="1" t="s">
        <v>579</v>
      </c>
      <c r="C548" t="str">
        <f t="shared" si="42"/>
        <v>2016/06/09</v>
      </c>
      <c r="D548" s="4">
        <f t="shared" si="40"/>
        <v>42530</v>
      </c>
      <c r="E548" s="4">
        <f t="shared" si="41"/>
        <v>45382</v>
      </c>
      <c r="F548" t="str">
        <f t="shared" si="43"/>
        <v>2024/03/31</v>
      </c>
      <c r="G548" s="1" t="s">
        <v>5</v>
      </c>
      <c r="H548">
        <v>1969</v>
      </c>
      <c r="I548" s="1" t="s">
        <v>8</v>
      </c>
      <c r="K548" s="1" t="s">
        <v>571</v>
      </c>
    </row>
    <row r="549" spans="1:12" x14ac:dyDescent="0.35">
      <c r="A549" t="s">
        <v>580</v>
      </c>
      <c r="B549" s="1" t="s">
        <v>581</v>
      </c>
      <c r="C549" t="str">
        <f t="shared" si="42"/>
        <v>2016/06/09</v>
      </c>
      <c r="D549" s="4">
        <f t="shared" si="40"/>
        <v>42530</v>
      </c>
      <c r="E549" s="4">
        <f t="shared" si="41"/>
        <v>45382</v>
      </c>
      <c r="F549" t="str">
        <f t="shared" si="43"/>
        <v>2024/03/31</v>
      </c>
      <c r="G549" s="1" t="s">
        <v>61</v>
      </c>
      <c r="H549">
        <v>1989</v>
      </c>
      <c r="I549" s="1" t="s">
        <v>7</v>
      </c>
      <c r="J549" s="1" t="s">
        <v>75</v>
      </c>
      <c r="K549" s="1" t="s">
        <v>582</v>
      </c>
    </row>
    <row r="550" spans="1:12" x14ac:dyDescent="0.35">
      <c r="A550" t="s">
        <v>583</v>
      </c>
      <c r="B550" s="1" t="s">
        <v>584</v>
      </c>
      <c r="C550" t="str">
        <f t="shared" si="42"/>
        <v>2016/06/09</v>
      </c>
      <c r="D550" s="4">
        <f t="shared" si="40"/>
        <v>42530</v>
      </c>
      <c r="E550" s="4">
        <f t="shared" si="41"/>
        <v>45382</v>
      </c>
      <c r="F550" t="str">
        <f t="shared" si="43"/>
        <v>2024/03/31</v>
      </c>
      <c r="G550" s="1" t="s">
        <v>5</v>
      </c>
      <c r="H550">
        <v>1979</v>
      </c>
      <c r="I550" s="1" t="s">
        <v>8</v>
      </c>
      <c r="K550" s="1" t="s">
        <v>571</v>
      </c>
    </row>
    <row r="551" spans="1:12" x14ac:dyDescent="0.35">
      <c r="A551" t="s">
        <v>241</v>
      </c>
      <c r="B551" s="1" t="s">
        <v>242</v>
      </c>
      <c r="C551" t="str">
        <f>"2015/10/20"</f>
        <v>2015/10/20</v>
      </c>
      <c r="D551" s="4">
        <f t="shared" si="40"/>
        <v>42297</v>
      </c>
      <c r="E551" s="4">
        <f t="shared" si="41"/>
        <v>50697</v>
      </c>
      <c r="F551" t="str">
        <f>"2038/10/19"</f>
        <v>2038/10/19</v>
      </c>
      <c r="G551" s="1" t="s">
        <v>61</v>
      </c>
      <c r="H551">
        <v>1985</v>
      </c>
      <c r="I551" s="1" t="s">
        <v>13</v>
      </c>
      <c r="K551" s="1" t="s">
        <v>237</v>
      </c>
    </row>
    <row r="552" spans="1:12" x14ac:dyDescent="0.35">
      <c r="A552" t="s">
        <v>503</v>
      </c>
      <c r="B552" s="1" t="s">
        <v>504</v>
      </c>
      <c r="C552" t="str">
        <f>"2015/09/18"</f>
        <v>2015/09/18</v>
      </c>
      <c r="D552" s="4">
        <f t="shared" si="40"/>
        <v>42265</v>
      </c>
      <c r="E552" s="4">
        <f t="shared" si="41"/>
        <v>72686</v>
      </c>
      <c r="F552" t="str">
        <f>"2099/01/01"</f>
        <v>2099/01/01</v>
      </c>
      <c r="G552" s="1" t="s">
        <v>61</v>
      </c>
      <c r="H552">
        <v>2015</v>
      </c>
      <c r="I552" s="1" t="s">
        <v>31</v>
      </c>
      <c r="J552" s="1" t="s">
        <v>222</v>
      </c>
      <c r="K552" s="1" t="s">
        <v>505</v>
      </c>
    </row>
    <row r="553" spans="1:12" x14ac:dyDescent="0.35">
      <c r="A553" t="s">
        <v>258</v>
      </c>
      <c r="B553" s="1" t="s">
        <v>259</v>
      </c>
      <c r="C553" t="str">
        <f>"2015/09/15"</f>
        <v>2015/09/15</v>
      </c>
      <c r="D553" s="4">
        <f t="shared" si="40"/>
        <v>42262</v>
      </c>
      <c r="E553" s="4">
        <f t="shared" si="41"/>
        <v>45352</v>
      </c>
      <c r="F553" t="str">
        <f>"2024/03/01"</f>
        <v>2024/03/01</v>
      </c>
      <c r="G553" s="1" t="s">
        <v>61</v>
      </c>
      <c r="H553">
        <v>2009</v>
      </c>
      <c r="I553" s="1" t="s">
        <v>124</v>
      </c>
      <c r="J553" s="1" t="s">
        <v>13</v>
      </c>
      <c r="K553" s="1" t="s">
        <v>260</v>
      </c>
      <c r="L553" s="1" t="s">
        <v>261</v>
      </c>
    </row>
    <row r="554" spans="1:12" x14ac:dyDescent="0.35">
      <c r="A554" t="s">
        <v>256</v>
      </c>
      <c r="B554" s="1" t="s">
        <v>257</v>
      </c>
      <c r="C554" t="str">
        <f>"2015/09/15"</f>
        <v>2015/09/15</v>
      </c>
      <c r="D554" s="4">
        <f t="shared" si="40"/>
        <v>42262</v>
      </c>
      <c r="E554" s="4">
        <f t="shared" si="41"/>
        <v>45383</v>
      </c>
      <c r="F554" t="str">
        <f>"2024/04/01"</f>
        <v>2024/04/01</v>
      </c>
      <c r="G554" s="1" t="s">
        <v>61</v>
      </c>
      <c r="H554">
        <v>2008</v>
      </c>
      <c r="I554" s="1" t="s">
        <v>12</v>
      </c>
      <c r="J554" s="1" t="s">
        <v>13</v>
      </c>
      <c r="K554" s="1" t="s">
        <v>211</v>
      </c>
    </row>
    <row r="555" spans="1:12" x14ac:dyDescent="0.35">
      <c r="A555" t="s">
        <v>154</v>
      </c>
      <c r="B555" s="1" t="s">
        <v>155</v>
      </c>
      <c r="C555" t="str">
        <f>"2015/08/01"</f>
        <v>2015/08/01</v>
      </c>
      <c r="D555" s="4">
        <f t="shared" si="40"/>
        <v>42217</v>
      </c>
      <c r="E555" s="4">
        <f t="shared" si="41"/>
        <v>47412</v>
      </c>
      <c r="F555" t="str">
        <f>"2029/10/21"</f>
        <v>2029/10/21</v>
      </c>
      <c r="G555" s="1" t="s">
        <v>61</v>
      </c>
      <c r="H555">
        <v>1978</v>
      </c>
      <c r="I555" s="1" t="s">
        <v>13</v>
      </c>
      <c r="J555" s="1" t="s">
        <v>117</v>
      </c>
      <c r="K555" s="1" t="s">
        <v>156</v>
      </c>
    </row>
    <row r="556" spans="1:12" ht="29" x14ac:dyDescent="0.35">
      <c r="A556" t="s">
        <v>166</v>
      </c>
      <c r="B556" s="1" t="s">
        <v>167</v>
      </c>
      <c r="C556" t="str">
        <f>"2015/08/01"</f>
        <v>2015/08/01</v>
      </c>
      <c r="D556" s="4">
        <f t="shared" si="40"/>
        <v>42217</v>
      </c>
      <c r="E556" s="4">
        <f t="shared" si="41"/>
        <v>72686</v>
      </c>
      <c r="F556" t="str">
        <f>"2099/01/01"</f>
        <v>2099/01/01</v>
      </c>
      <c r="G556" s="1" t="s">
        <v>36</v>
      </c>
      <c r="H556">
        <v>1971</v>
      </c>
      <c r="I556" s="1" t="s">
        <v>7</v>
      </c>
      <c r="J556" s="1" t="s">
        <v>168</v>
      </c>
      <c r="K556" s="1" t="s">
        <v>169</v>
      </c>
    </row>
    <row r="557" spans="1:12" x14ac:dyDescent="0.35">
      <c r="A557" t="s">
        <v>164</v>
      </c>
      <c r="B557" s="1" t="s">
        <v>165</v>
      </c>
      <c r="C557" t="str">
        <f>"2015/08/01"</f>
        <v>2015/08/01</v>
      </c>
      <c r="D557" s="4">
        <f t="shared" si="40"/>
        <v>42217</v>
      </c>
      <c r="E557" s="4">
        <f t="shared" si="41"/>
        <v>401768</v>
      </c>
      <c r="F557" t="str">
        <f>"2999/12/31"</f>
        <v>2999/12/31</v>
      </c>
      <c r="G557" s="1" t="s">
        <v>61</v>
      </c>
      <c r="H557">
        <v>1985</v>
      </c>
      <c r="I557" s="1" t="s">
        <v>117</v>
      </c>
      <c r="J557" s="1" t="s">
        <v>75</v>
      </c>
      <c r="K557" s="1" t="s">
        <v>156</v>
      </c>
    </row>
    <row r="558" spans="1:12" x14ac:dyDescent="0.35">
      <c r="A558" t="s">
        <v>176</v>
      </c>
      <c r="B558" s="1" t="s">
        <v>177</v>
      </c>
      <c r="C558" t="str">
        <f>"2015/08/01"</f>
        <v>2015/08/01</v>
      </c>
      <c r="D558" s="4">
        <f t="shared" si="40"/>
        <v>42217</v>
      </c>
      <c r="E558" s="4">
        <f t="shared" si="41"/>
        <v>401768</v>
      </c>
      <c r="F558" t="str">
        <f>"2999/12/31"</f>
        <v>2999/12/31</v>
      </c>
      <c r="G558" s="1" t="s">
        <v>61</v>
      </c>
      <c r="H558">
        <v>1991</v>
      </c>
      <c r="I558" s="1" t="s">
        <v>31</v>
      </c>
      <c r="J558" s="1" t="s">
        <v>117</v>
      </c>
      <c r="K558" s="1" t="s">
        <v>156</v>
      </c>
    </row>
    <row r="559" spans="1:12" x14ac:dyDescent="0.35">
      <c r="A559" t="s">
        <v>330</v>
      </c>
      <c r="B559" s="1" t="s">
        <v>331</v>
      </c>
      <c r="C559" t="str">
        <f>"2015/07/06"</f>
        <v>2015/07/06</v>
      </c>
      <c r="D559" s="4">
        <f t="shared" si="40"/>
        <v>42191</v>
      </c>
      <c r="E559" s="4">
        <f t="shared" si="41"/>
        <v>50556</v>
      </c>
      <c r="F559" t="str">
        <f>"2038/05/31"</f>
        <v>2038/05/31</v>
      </c>
      <c r="G559" s="1" t="s">
        <v>61</v>
      </c>
      <c r="H559">
        <v>1989</v>
      </c>
      <c r="I559" s="1" t="s">
        <v>13</v>
      </c>
      <c r="K559" s="1" t="s">
        <v>332</v>
      </c>
    </row>
    <row r="560" spans="1:12" x14ac:dyDescent="0.35">
      <c r="A560" t="s">
        <v>348</v>
      </c>
      <c r="B560" s="1" t="s">
        <v>349</v>
      </c>
      <c r="C560" t="str">
        <f>"2015/07/06"</f>
        <v>2015/07/06</v>
      </c>
      <c r="D560" s="4">
        <f t="shared" si="40"/>
        <v>42191</v>
      </c>
      <c r="E560" s="4">
        <f t="shared" si="41"/>
        <v>50556</v>
      </c>
      <c r="F560" t="str">
        <f>"2038/05/31"</f>
        <v>2038/05/31</v>
      </c>
      <c r="G560" s="1" t="s">
        <v>61</v>
      </c>
      <c r="H560">
        <v>1978</v>
      </c>
      <c r="I560" s="1" t="s">
        <v>13</v>
      </c>
      <c r="K560" s="1" t="s">
        <v>350</v>
      </c>
    </row>
    <row r="561" spans="1:12" ht="29" x14ac:dyDescent="0.35">
      <c r="A561" t="s">
        <v>374</v>
      </c>
      <c r="B561" s="1" t="s">
        <v>375</v>
      </c>
      <c r="C561" t="str">
        <f>"2015/07/06"</f>
        <v>2015/07/06</v>
      </c>
      <c r="D561" s="4">
        <f t="shared" si="40"/>
        <v>42191</v>
      </c>
      <c r="E561" s="4">
        <f t="shared" si="41"/>
        <v>50556</v>
      </c>
      <c r="F561" t="str">
        <f>"2038/05/31"</f>
        <v>2038/05/31</v>
      </c>
      <c r="G561" s="1" t="s">
        <v>61</v>
      </c>
      <c r="H561">
        <v>1994</v>
      </c>
      <c r="I561" s="1" t="s">
        <v>6</v>
      </c>
      <c r="J561" s="1" t="s">
        <v>31</v>
      </c>
      <c r="K561" s="1" t="s">
        <v>376</v>
      </c>
    </row>
    <row r="562" spans="1:12" x14ac:dyDescent="0.35">
      <c r="A562" t="s">
        <v>298</v>
      </c>
      <c r="B562" s="1" t="s">
        <v>299</v>
      </c>
      <c r="C562" t="str">
        <f>"2014/12/01"</f>
        <v>2014/12/01</v>
      </c>
      <c r="D562" s="4">
        <f t="shared" si="40"/>
        <v>41974</v>
      </c>
      <c r="E562" s="4">
        <f t="shared" si="41"/>
        <v>45382</v>
      </c>
      <c r="F562" t="str">
        <f>"2024/03/31"</f>
        <v>2024/03/31</v>
      </c>
      <c r="G562" s="1" t="s">
        <v>45</v>
      </c>
      <c r="H562">
        <v>1977</v>
      </c>
      <c r="I562" s="1" t="s">
        <v>8</v>
      </c>
      <c r="K562" s="1" t="s">
        <v>274</v>
      </c>
    </row>
    <row r="563" spans="1:12" x14ac:dyDescent="0.35">
      <c r="A563" t="s">
        <v>275</v>
      </c>
      <c r="B563" s="1" t="s">
        <v>276</v>
      </c>
      <c r="C563" t="str">
        <f>"2014/10/01"</f>
        <v>2014/10/01</v>
      </c>
      <c r="D563" s="4">
        <f t="shared" si="40"/>
        <v>41913</v>
      </c>
      <c r="E563" s="4">
        <f t="shared" si="41"/>
        <v>45352</v>
      </c>
      <c r="F563" t="str">
        <f>"2024/03/01"</f>
        <v>2024/03/01</v>
      </c>
      <c r="G563" s="1" t="s">
        <v>277</v>
      </c>
      <c r="H563">
        <v>2010</v>
      </c>
      <c r="I563" s="1" t="s">
        <v>52</v>
      </c>
      <c r="J563" s="1" t="s">
        <v>13</v>
      </c>
      <c r="K563" s="1" t="s">
        <v>237</v>
      </c>
    </row>
    <row r="564" spans="1:12" x14ac:dyDescent="0.35">
      <c r="A564" s="5" t="s">
        <v>88</v>
      </c>
      <c r="B564" s="6" t="s">
        <v>89</v>
      </c>
      <c r="C564" s="5" t="str">
        <f>"2014/09/30"</f>
        <v>2014/09/30</v>
      </c>
      <c r="D564" s="7">
        <f t="shared" si="40"/>
        <v>41912</v>
      </c>
      <c r="E564" s="7">
        <f t="shared" si="41"/>
        <v>45199</v>
      </c>
      <c r="F564" s="5" t="str">
        <f>"2023/09/30"</f>
        <v>2023/09/30</v>
      </c>
      <c r="G564" s="6" t="s">
        <v>5</v>
      </c>
      <c r="H564" s="5">
        <v>1928</v>
      </c>
      <c r="I564" s="6" t="s">
        <v>6</v>
      </c>
      <c r="J564" s="6" t="s">
        <v>13</v>
      </c>
      <c r="K564" s="6" t="s">
        <v>90</v>
      </c>
      <c r="L564" s="6"/>
    </row>
    <row r="565" spans="1:12" x14ac:dyDescent="0.35">
      <c r="A565" s="5" t="s">
        <v>280</v>
      </c>
      <c r="B565" s="6" t="s">
        <v>281</v>
      </c>
      <c r="C565" s="5" t="str">
        <f>"2014/09/30"</f>
        <v>2014/09/30</v>
      </c>
      <c r="D565" s="7">
        <f t="shared" si="40"/>
        <v>41912</v>
      </c>
      <c r="E565" s="7">
        <f t="shared" si="41"/>
        <v>45199</v>
      </c>
      <c r="F565" s="5" t="str">
        <f>"2023/09/30"</f>
        <v>2023/09/30</v>
      </c>
      <c r="G565" s="6" t="s">
        <v>5</v>
      </c>
      <c r="H565" s="5">
        <v>1973</v>
      </c>
      <c r="I565" s="6" t="s">
        <v>282</v>
      </c>
      <c r="J565" s="6" t="s">
        <v>240</v>
      </c>
      <c r="K565" s="6" t="s">
        <v>283</v>
      </c>
      <c r="L565" s="6"/>
    </row>
    <row r="566" spans="1:12" x14ac:dyDescent="0.35">
      <c r="A566" s="5" t="s">
        <v>284</v>
      </c>
      <c r="B566" s="6" t="s">
        <v>285</v>
      </c>
      <c r="C566" s="5" t="str">
        <f>"2014/09/30"</f>
        <v>2014/09/30</v>
      </c>
      <c r="D566" s="7">
        <f t="shared" si="40"/>
        <v>41912</v>
      </c>
      <c r="E566" s="7">
        <f t="shared" si="41"/>
        <v>45199</v>
      </c>
      <c r="F566" s="5" t="str">
        <f>"2023/09/30"</f>
        <v>2023/09/30</v>
      </c>
      <c r="G566" s="6" t="s">
        <v>87</v>
      </c>
      <c r="H566" s="5">
        <v>1927</v>
      </c>
      <c r="I566" s="6" t="s">
        <v>6</v>
      </c>
      <c r="J566" s="6" t="s">
        <v>240</v>
      </c>
      <c r="K566" s="6" t="s">
        <v>286</v>
      </c>
      <c r="L566" s="6"/>
    </row>
    <row r="567" spans="1:12" x14ac:dyDescent="0.35">
      <c r="A567" s="5" t="s">
        <v>293</v>
      </c>
      <c r="B567" s="6" t="s">
        <v>294</v>
      </c>
      <c r="C567" s="5" t="str">
        <f>"2014/09/30"</f>
        <v>2014/09/30</v>
      </c>
      <c r="D567" s="7">
        <f t="shared" si="40"/>
        <v>41912</v>
      </c>
      <c r="E567" s="7">
        <f t="shared" si="41"/>
        <v>45199</v>
      </c>
      <c r="F567" s="5" t="str">
        <f>"2023/09/30"</f>
        <v>2023/09/30</v>
      </c>
      <c r="G567" s="6" t="s">
        <v>87</v>
      </c>
      <c r="H567" s="5">
        <v>1931</v>
      </c>
      <c r="I567" s="6" t="s">
        <v>6</v>
      </c>
      <c r="J567" s="6" t="s">
        <v>124</v>
      </c>
      <c r="K567" s="6" t="s">
        <v>286</v>
      </c>
      <c r="L567" s="6"/>
    </row>
    <row r="568" spans="1:12" x14ac:dyDescent="0.35">
      <c r="A568" t="s">
        <v>278</v>
      </c>
      <c r="B568" s="1" t="s">
        <v>279</v>
      </c>
      <c r="C568" t="str">
        <f>"2014/09/29"</f>
        <v>2014/09/29</v>
      </c>
      <c r="D568" s="4">
        <f t="shared" si="40"/>
        <v>41911</v>
      </c>
      <c r="E568" s="4">
        <f t="shared" si="41"/>
        <v>45352</v>
      </c>
      <c r="F568" t="str">
        <f>"2024/03/01"</f>
        <v>2024/03/01</v>
      </c>
      <c r="G568" s="1" t="s">
        <v>277</v>
      </c>
      <c r="H568">
        <v>2012</v>
      </c>
      <c r="I568" s="1" t="s">
        <v>13</v>
      </c>
      <c r="J568" s="1" t="s">
        <v>18</v>
      </c>
      <c r="K568" s="1" t="s">
        <v>237</v>
      </c>
    </row>
    <row r="569" spans="1:12" x14ac:dyDescent="0.35">
      <c r="A569" s="5" t="s">
        <v>190</v>
      </c>
      <c r="B569" s="6" t="s">
        <v>191</v>
      </c>
      <c r="C569" s="5" t="str">
        <f t="shared" ref="C569:C574" si="44">"2013/10/09"</f>
        <v>2013/10/09</v>
      </c>
      <c r="D569" s="7">
        <f t="shared" si="40"/>
        <v>41556</v>
      </c>
      <c r="E569" s="7">
        <f t="shared" si="41"/>
        <v>45199</v>
      </c>
      <c r="F569" s="5" t="str">
        <f>"2023/09/30"</f>
        <v>2023/09/30</v>
      </c>
      <c r="G569" s="6" t="s">
        <v>5</v>
      </c>
      <c r="H569" s="5">
        <v>2011</v>
      </c>
      <c r="I569" s="6" t="s">
        <v>13</v>
      </c>
      <c r="J569" s="6" t="s">
        <v>117</v>
      </c>
      <c r="K569" s="6" t="s">
        <v>192</v>
      </c>
      <c r="L569" s="6"/>
    </row>
    <row r="570" spans="1:12" x14ac:dyDescent="0.35">
      <c r="A570" s="5" t="s">
        <v>193</v>
      </c>
      <c r="B570" s="6" t="s">
        <v>194</v>
      </c>
      <c r="C570" s="5" t="str">
        <f t="shared" si="44"/>
        <v>2013/10/09</v>
      </c>
      <c r="D570" s="7">
        <f t="shared" si="40"/>
        <v>41556</v>
      </c>
      <c r="E570" s="7">
        <f t="shared" si="41"/>
        <v>45199</v>
      </c>
      <c r="F570" s="5" t="str">
        <f>"2023/09/30"</f>
        <v>2023/09/30</v>
      </c>
      <c r="G570" s="6" t="s">
        <v>36</v>
      </c>
      <c r="H570" s="5">
        <v>2013</v>
      </c>
      <c r="I570" s="6" t="s">
        <v>13</v>
      </c>
      <c r="J570" s="6" t="s">
        <v>117</v>
      </c>
      <c r="K570" s="6" t="s">
        <v>195</v>
      </c>
      <c r="L570" s="6" t="s">
        <v>196</v>
      </c>
    </row>
    <row r="571" spans="1:12" ht="29" x14ac:dyDescent="0.35">
      <c r="A571" s="5" t="s">
        <v>243</v>
      </c>
      <c r="B571" s="6" t="s">
        <v>244</v>
      </c>
      <c r="C571" s="5" t="str">
        <f t="shared" si="44"/>
        <v>2013/10/09</v>
      </c>
      <c r="D571" s="7">
        <f t="shared" si="40"/>
        <v>41556</v>
      </c>
      <c r="E571" s="7">
        <f t="shared" si="41"/>
        <v>45199</v>
      </c>
      <c r="F571" s="5" t="str">
        <f>"2023/09/30"</f>
        <v>2023/09/30</v>
      </c>
      <c r="G571" s="6" t="s">
        <v>36</v>
      </c>
      <c r="H571" s="5">
        <v>2013</v>
      </c>
      <c r="I571" s="6" t="s">
        <v>52</v>
      </c>
      <c r="J571" s="6" t="s">
        <v>31</v>
      </c>
      <c r="K571" s="6" t="s">
        <v>245</v>
      </c>
      <c r="L571" s="6"/>
    </row>
    <row r="572" spans="1:12" ht="29" x14ac:dyDescent="0.35">
      <c r="A572" t="s">
        <v>91</v>
      </c>
      <c r="B572" s="1" t="s">
        <v>146</v>
      </c>
      <c r="C572" t="str">
        <f t="shared" si="44"/>
        <v>2013/10/09</v>
      </c>
      <c r="D572" s="4">
        <f t="shared" si="40"/>
        <v>41556</v>
      </c>
      <c r="E572" s="4">
        <f t="shared" si="41"/>
        <v>47848</v>
      </c>
      <c r="F572" t="str">
        <f t="shared" ref="F572:F580" si="45">"2030/12/31"</f>
        <v>2030/12/31</v>
      </c>
      <c r="G572" s="1" t="s">
        <v>61</v>
      </c>
      <c r="H572">
        <v>1995</v>
      </c>
      <c r="I572" s="1" t="s">
        <v>31</v>
      </c>
      <c r="K572" s="1" t="s">
        <v>93</v>
      </c>
      <c r="L572" s="1" t="s">
        <v>94</v>
      </c>
    </row>
    <row r="573" spans="1:12" ht="29" x14ac:dyDescent="0.35">
      <c r="A573" t="s">
        <v>91</v>
      </c>
      <c r="B573" s="1" t="s">
        <v>147</v>
      </c>
      <c r="C573" t="str">
        <f t="shared" si="44"/>
        <v>2013/10/09</v>
      </c>
      <c r="D573" s="4">
        <f t="shared" si="40"/>
        <v>41556</v>
      </c>
      <c r="E573" s="4">
        <f t="shared" si="41"/>
        <v>47848</v>
      </c>
      <c r="F573" t="str">
        <f t="shared" si="45"/>
        <v>2030/12/31</v>
      </c>
      <c r="G573" s="1" t="s">
        <v>61</v>
      </c>
      <c r="H573">
        <v>1995</v>
      </c>
      <c r="I573" s="1" t="s">
        <v>31</v>
      </c>
      <c r="K573" s="1" t="s">
        <v>93</v>
      </c>
      <c r="L573" s="1" t="s">
        <v>94</v>
      </c>
    </row>
    <row r="574" spans="1:12" x14ac:dyDescent="0.35">
      <c r="A574" t="s">
        <v>162</v>
      </c>
      <c r="B574" s="1" t="s">
        <v>163</v>
      </c>
      <c r="C574" t="str">
        <f t="shared" si="44"/>
        <v>2013/10/09</v>
      </c>
      <c r="D574" s="4">
        <f t="shared" si="40"/>
        <v>41556</v>
      </c>
      <c r="E574" s="4">
        <f t="shared" si="41"/>
        <v>47848</v>
      </c>
      <c r="F574" t="str">
        <f t="shared" si="45"/>
        <v>2030/12/31</v>
      </c>
      <c r="G574" s="1" t="s">
        <v>61</v>
      </c>
      <c r="H574">
        <v>1986</v>
      </c>
      <c r="I574" s="1" t="s">
        <v>52</v>
      </c>
      <c r="J574" s="1" t="s">
        <v>6</v>
      </c>
      <c r="K574" s="1" t="s">
        <v>153</v>
      </c>
    </row>
    <row r="575" spans="1:12" ht="29" x14ac:dyDescent="0.35">
      <c r="A575" t="s">
        <v>91</v>
      </c>
      <c r="B575" s="1" t="s">
        <v>92</v>
      </c>
      <c r="C575" t="str">
        <f t="shared" ref="C575:C580" si="46">"2013/10/01"</f>
        <v>2013/10/01</v>
      </c>
      <c r="D575" s="4">
        <f t="shared" si="40"/>
        <v>41548</v>
      </c>
      <c r="E575" s="4">
        <f t="shared" si="41"/>
        <v>47848</v>
      </c>
      <c r="F575" t="str">
        <f t="shared" si="45"/>
        <v>2030/12/31</v>
      </c>
      <c r="G575" s="1" t="s">
        <v>61</v>
      </c>
      <c r="H575">
        <v>1995</v>
      </c>
      <c r="I575" s="1" t="s">
        <v>31</v>
      </c>
      <c r="K575" s="1" t="s">
        <v>93</v>
      </c>
      <c r="L575" s="1" t="s">
        <v>94</v>
      </c>
    </row>
    <row r="576" spans="1:12" x14ac:dyDescent="0.35">
      <c r="A576" t="s">
        <v>95</v>
      </c>
      <c r="B576" s="1" t="s">
        <v>96</v>
      </c>
      <c r="C576" t="str">
        <f t="shared" si="46"/>
        <v>2013/10/01</v>
      </c>
      <c r="D576" s="4">
        <f t="shared" si="40"/>
        <v>41548</v>
      </c>
      <c r="E576" s="4">
        <f t="shared" si="41"/>
        <v>47848</v>
      </c>
      <c r="F576" t="str">
        <f t="shared" si="45"/>
        <v>2030/12/31</v>
      </c>
      <c r="G576" s="1" t="s">
        <v>61</v>
      </c>
      <c r="H576">
        <v>1996</v>
      </c>
      <c r="I576" s="1" t="s">
        <v>31</v>
      </c>
      <c r="K576" s="1" t="s">
        <v>97</v>
      </c>
    </row>
    <row r="577" spans="1:11" x14ac:dyDescent="0.35">
      <c r="A577" t="s">
        <v>130</v>
      </c>
      <c r="B577" s="1" t="s">
        <v>131</v>
      </c>
      <c r="C577" t="str">
        <f t="shared" si="46"/>
        <v>2013/10/01</v>
      </c>
      <c r="D577" s="4">
        <f t="shared" si="40"/>
        <v>41548</v>
      </c>
      <c r="E577" s="4">
        <f t="shared" si="41"/>
        <v>47848</v>
      </c>
      <c r="F577" t="str">
        <f t="shared" si="45"/>
        <v>2030/12/31</v>
      </c>
      <c r="G577" s="1" t="s">
        <v>61</v>
      </c>
      <c r="H577">
        <v>1983</v>
      </c>
      <c r="I577" s="1" t="s">
        <v>13</v>
      </c>
      <c r="J577" s="1" t="s">
        <v>117</v>
      </c>
      <c r="K577" s="1" t="s">
        <v>132</v>
      </c>
    </row>
    <row r="578" spans="1:11" x14ac:dyDescent="0.35">
      <c r="A578" t="s">
        <v>133</v>
      </c>
      <c r="B578" s="1" t="s">
        <v>134</v>
      </c>
      <c r="C578" t="str">
        <f t="shared" si="46"/>
        <v>2013/10/01</v>
      </c>
      <c r="D578" s="4">
        <f t="shared" ref="D578:D590" si="47">DATEVALUE(C578)</f>
        <v>41548</v>
      </c>
      <c r="E578" s="4">
        <f t="shared" ref="E578:E590" si="48">DATEVALUE(F578)</f>
        <v>47848</v>
      </c>
      <c r="F578" t="str">
        <f t="shared" si="45"/>
        <v>2030/12/31</v>
      </c>
      <c r="G578" s="1" t="s">
        <v>61</v>
      </c>
      <c r="H578">
        <v>1976</v>
      </c>
      <c r="I578" s="1" t="s">
        <v>13</v>
      </c>
      <c r="J578" s="1" t="s">
        <v>117</v>
      </c>
      <c r="K578" s="1" t="s">
        <v>132</v>
      </c>
    </row>
    <row r="579" spans="1:11" x14ac:dyDescent="0.35">
      <c r="A579" t="s">
        <v>135</v>
      </c>
      <c r="B579" s="1" t="s">
        <v>136</v>
      </c>
      <c r="C579" t="str">
        <f t="shared" si="46"/>
        <v>2013/10/01</v>
      </c>
      <c r="D579" s="4">
        <f t="shared" si="47"/>
        <v>41548</v>
      </c>
      <c r="E579" s="4">
        <f t="shared" si="48"/>
        <v>47848</v>
      </c>
      <c r="F579" t="str">
        <f t="shared" si="45"/>
        <v>2030/12/31</v>
      </c>
      <c r="G579" s="1" t="s">
        <v>61</v>
      </c>
      <c r="H579">
        <v>1980</v>
      </c>
      <c r="I579" s="1" t="s">
        <v>13</v>
      </c>
      <c r="J579" s="1" t="s">
        <v>117</v>
      </c>
      <c r="K579" s="1" t="s">
        <v>132</v>
      </c>
    </row>
    <row r="580" spans="1:11" x14ac:dyDescent="0.35">
      <c r="A580" t="s">
        <v>137</v>
      </c>
      <c r="B580" s="1" t="s">
        <v>138</v>
      </c>
      <c r="C580" t="str">
        <f t="shared" si="46"/>
        <v>2013/10/01</v>
      </c>
      <c r="D580" s="4">
        <f t="shared" si="47"/>
        <v>41548</v>
      </c>
      <c r="E580" s="4">
        <f t="shared" si="48"/>
        <v>47848</v>
      </c>
      <c r="F580" t="str">
        <f t="shared" si="45"/>
        <v>2030/12/31</v>
      </c>
      <c r="G580" s="1" t="s">
        <v>61</v>
      </c>
      <c r="H580">
        <v>1993</v>
      </c>
      <c r="I580" s="1" t="s">
        <v>13</v>
      </c>
      <c r="J580" s="1" t="s">
        <v>75</v>
      </c>
      <c r="K580" s="1" t="s">
        <v>139</v>
      </c>
    </row>
    <row r="581" spans="1:11" x14ac:dyDescent="0.35">
      <c r="A581" t="s">
        <v>170</v>
      </c>
      <c r="B581" s="1" t="s">
        <v>171</v>
      </c>
      <c r="C581" t="str">
        <f t="shared" ref="C581:C586" si="49">"2009/10/01"</f>
        <v>2009/10/01</v>
      </c>
      <c r="D581" s="4">
        <f t="shared" si="47"/>
        <v>40087</v>
      </c>
      <c r="E581" s="4">
        <f t="shared" si="48"/>
        <v>50423</v>
      </c>
      <c r="F581" t="str">
        <f>"2038/01/18"</f>
        <v>2038/01/18</v>
      </c>
      <c r="G581" s="1" t="s">
        <v>61</v>
      </c>
      <c r="H581">
        <v>1989</v>
      </c>
      <c r="I581" s="1" t="s">
        <v>13</v>
      </c>
      <c r="J581" s="1" t="s">
        <v>117</v>
      </c>
      <c r="K581" s="1" t="s">
        <v>172</v>
      </c>
    </row>
    <row r="582" spans="1:11" x14ac:dyDescent="0.35">
      <c r="A582" t="s">
        <v>238</v>
      </c>
      <c r="B582" s="1" t="s">
        <v>239</v>
      </c>
      <c r="C582" t="str">
        <f t="shared" si="49"/>
        <v>2009/10/01</v>
      </c>
      <c r="D582" s="4">
        <f t="shared" si="47"/>
        <v>40087</v>
      </c>
      <c r="E582" s="4">
        <f t="shared" si="48"/>
        <v>401707</v>
      </c>
      <c r="F582" t="str">
        <f>"2999/10/31"</f>
        <v>2999/10/31</v>
      </c>
      <c r="G582" s="1" t="s">
        <v>61</v>
      </c>
      <c r="H582">
        <v>1980</v>
      </c>
      <c r="I582" s="1" t="s">
        <v>13</v>
      </c>
      <c r="J582" s="1" t="s">
        <v>7</v>
      </c>
      <c r="K582" s="1" t="s">
        <v>237</v>
      </c>
    </row>
    <row r="583" spans="1:11" x14ac:dyDescent="0.35">
      <c r="A583" t="s">
        <v>345</v>
      </c>
      <c r="B583" s="1" t="s">
        <v>346</v>
      </c>
      <c r="C583" t="str">
        <f t="shared" si="49"/>
        <v>2009/10/01</v>
      </c>
      <c r="D583" s="4">
        <f t="shared" si="47"/>
        <v>40087</v>
      </c>
      <c r="E583" s="4">
        <f t="shared" si="48"/>
        <v>401707</v>
      </c>
      <c r="F583" t="str">
        <f>"2999/10/31"</f>
        <v>2999/10/31</v>
      </c>
      <c r="G583" s="1" t="s">
        <v>61</v>
      </c>
      <c r="H583">
        <v>1997</v>
      </c>
      <c r="I583" s="1" t="s">
        <v>52</v>
      </c>
      <c r="J583" s="1" t="s">
        <v>13</v>
      </c>
      <c r="K583" s="1" t="s">
        <v>347</v>
      </c>
    </row>
    <row r="584" spans="1:11" x14ac:dyDescent="0.35">
      <c r="A584" t="s">
        <v>173</v>
      </c>
      <c r="B584" s="1" t="s">
        <v>174</v>
      </c>
      <c r="C584" t="str">
        <f t="shared" si="49"/>
        <v>2009/10/01</v>
      </c>
      <c r="D584" s="4">
        <f t="shared" si="47"/>
        <v>40087</v>
      </c>
      <c r="E584" s="4">
        <f t="shared" si="48"/>
        <v>401768</v>
      </c>
      <c r="F584" t="str">
        <f>"2999/12/31"</f>
        <v>2999/12/31</v>
      </c>
      <c r="G584" s="1" t="s">
        <v>61</v>
      </c>
      <c r="H584">
        <v>1991</v>
      </c>
      <c r="I584" s="1" t="s">
        <v>13</v>
      </c>
      <c r="J584" s="1" t="s">
        <v>117</v>
      </c>
      <c r="K584" s="1" t="s">
        <v>175</v>
      </c>
    </row>
    <row r="585" spans="1:11" x14ac:dyDescent="0.35">
      <c r="A585" t="s">
        <v>197</v>
      </c>
      <c r="B585" s="1" t="s">
        <v>198</v>
      </c>
      <c r="C585" t="str">
        <f t="shared" si="49"/>
        <v>2009/10/01</v>
      </c>
      <c r="D585" s="4">
        <f t="shared" si="47"/>
        <v>40087</v>
      </c>
      <c r="E585" s="4">
        <f t="shared" si="48"/>
        <v>401768</v>
      </c>
      <c r="F585" t="str">
        <f>"2999/12/31"</f>
        <v>2999/12/31</v>
      </c>
      <c r="G585" s="1" t="s">
        <v>61</v>
      </c>
      <c r="H585">
        <v>1991</v>
      </c>
      <c r="I585" s="1" t="s">
        <v>117</v>
      </c>
      <c r="J585" s="1" t="s">
        <v>75</v>
      </c>
      <c r="K585" s="1" t="s">
        <v>199</v>
      </c>
    </row>
    <row r="586" spans="1:11" x14ac:dyDescent="0.35">
      <c r="A586" t="s">
        <v>203</v>
      </c>
      <c r="B586" s="1" t="s">
        <v>204</v>
      </c>
      <c r="C586" t="str">
        <f t="shared" si="49"/>
        <v>2009/10/01</v>
      </c>
      <c r="D586" s="4">
        <f t="shared" si="47"/>
        <v>40087</v>
      </c>
      <c r="E586" s="4">
        <f t="shared" si="48"/>
        <v>401768</v>
      </c>
      <c r="F586" t="str">
        <f>"2999/12/31"</f>
        <v>2999/12/31</v>
      </c>
      <c r="G586" s="1" t="s">
        <v>61</v>
      </c>
      <c r="H586">
        <v>1998</v>
      </c>
      <c r="I586" s="1" t="s">
        <v>13</v>
      </c>
      <c r="J586" s="1" t="s">
        <v>117</v>
      </c>
      <c r="K586" s="1" t="s">
        <v>205</v>
      </c>
    </row>
    <row r="587" spans="1:11" x14ac:dyDescent="0.35">
      <c r="A587" t="s">
        <v>200</v>
      </c>
      <c r="B587" s="1" t="s">
        <v>201</v>
      </c>
      <c r="C587" t="str">
        <f>"1990/04/03"</f>
        <v>1990/04/03</v>
      </c>
      <c r="D587" s="4">
        <f t="shared" si="47"/>
        <v>32966</v>
      </c>
      <c r="E587" s="4">
        <f t="shared" si="48"/>
        <v>401768</v>
      </c>
      <c r="F587" t="str">
        <f>"2999/12/31"</f>
        <v>2999/12/31</v>
      </c>
      <c r="G587" s="1" t="s">
        <v>61</v>
      </c>
      <c r="H587">
        <v>1991</v>
      </c>
      <c r="I587" s="1" t="s">
        <v>13</v>
      </c>
      <c r="J587" s="1" t="s">
        <v>117</v>
      </c>
      <c r="K587" s="1" t="s">
        <v>202</v>
      </c>
    </row>
    <row r="588" spans="1:11" x14ac:dyDescent="0.35">
      <c r="A588" t="s">
        <v>455</v>
      </c>
      <c r="B588" s="1" t="s">
        <v>456</v>
      </c>
      <c r="C588" t="str">
        <f>"1978/01/01"</f>
        <v>1978/01/01</v>
      </c>
      <c r="D588" s="4">
        <f t="shared" si="47"/>
        <v>28491</v>
      </c>
      <c r="E588" s="4">
        <f t="shared" si="48"/>
        <v>401707</v>
      </c>
      <c r="F588" t="str">
        <f>"2999/10/31"</f>
        <v>2999/10/31</v>
      </c>
      <c r="G588" s="1" t="s">
        <v>61</v>
      </c>
      <c r="H588">
        <v>1979</v>
      </c>
      <c r="I588" s="1" t="s">
        <v>13</v>
      </c>
      <c r="K588" s="1" t="s">
        <v>452</v>
      </c>
    </row>
    <row r="589" spans="1:11" x14ac:dyDescent="0.35">
      <c r="A589" t="s">
        <v>453</v>
      </c>
      <c r="B589" s="1" t="s">
        <v>454</v>
      </c>
      <c r="C589" t="str">
        <f>"1973/01/01"</f>
        <v>1973/01/01</v>
      </c>
      <c r="D589" s="4">
        <f t="shared" si="47"/>
        <v>26665</v>
      </c>
      <c r="E589" s="4">
        <f t="shared" si="48"/>
        <v>401404</v>
      </c>
      <c r="F589" t="str">
        <f>"2999/01/01"</f>
        <v>2999/01/01</v>
      </c>
      <c r="G589" s="1" t="s">
        <v>61</v>
      </c>
      <c r="H589">
        <v>1973</v>
      </c>
      <c r="I589" s="1" t="s">
        <v>13</v>
      </c>
      <c r="K589" s="1" t="s">
        <v>452</v>
      </c>
    </row>
    <row r="590" spans="1:11" x14ac:dyDescent="0.35">
      <c r="A590" t="s">
        <v>450</v>
      </c>
      <c r="B590" s="1" t="s">
        <v>451</v>
      </c>
      <c r="C590" t="str">
        <f>"1973/01/01"</f>
        <v>1973/01/01</v>
      </c>
      <c r="D590" s="4">
        <f t="shared" si="47"/>
        <v>26665</v>
      </c>
      <c r="E590" s="4">
        <f t="shared" si="48"/>
        <v>401629</v>
      </c>
      <c r="F590" t="str">
        <f>"2999/08/14"</f>
        <v>2999/08/14</v>
      </c>
      <c r="G590" s="1" t="s">
        <v>61</v>
      </c>
      <c r="H590">
        <v>1974</v>
      </c>
      <c r="I590" s="1" t="s">
        <v>13</v>
      </c>
      <c r="J590" s="1" t="s">
        <v>125</v>
      </c>
      <c r="K590" s="1" t="s">
        <v>452</v>
      </c>
    </row>
  </sheetData>
  <autoFilter ref="A1:L590"/>
  <sortState ref="A2:L598">
    <sortCondition descending="1" ref="D1"/>
  </sortState>
  <hyperlinks>
    <hyperlink ref="B36" r:id="rId1"/>
    <hyperlink ref="B21" r:id="rId2"/>
    <hyperlink ref="B19" r:id="rId3"/>
    <hyperlink ref="B2" r:id="rId4"/>
    <hyperlink ref="B9" r:id="rId5"/>
  </hyperlinks>
  <pageMargins left="0.7" right="0.7" top="0.75" bottom="0.75" header="0.3" footer="0.3"/>
  <pageSetup paperSize="9" orientation="portrait" horizontalDpi="1200" verticalDpi="120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svod_report_30032023-1680184602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Bryant</dc:creator>
  <cp:lastModifiedBy>Karen Aitken</cp:lastModifiedBy>
  <dcterms:created xsi:type="dcterms:W3CDTF">2023-03-31T08:22:58Z</dcterms:created>
  <dcterms:modified xsi:type="dcterms:W3CDTF">2023-04-04T16:01:50Z</dcterms:modified>
</cp:coreProperties>
</file>